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verton\Documents\Planilha de Custo Vigilância  inclusão de armas não letais\"/>
    </mc:Choice>
  </mc:AlternateContent>
  <xr:revisionPtr revIDLastSave="0" documentId="8_{49556C44-8B49-4A72-BE9D-04CBCF9868DE}" xr6:coauthVersionLast="36" xr6:coauthVersionMax="36" xr10:uidLastSave="{00000000-0000-0000-0000-000000000000}"/>
  <bookViews>
    <workbookView xWindow="0" yWindow="0" windowWidth="16410" windowHeight="7245" xr2:uid="{00000000-000D-0000-FFFF-FFFF00000000}"/>
  </bookViews>
  <sheets>
    <sheet name="QUADRO RESUMO (Enc.)" sheetId="6" r:id="rId1"/>
    <sheet name="QUADRO RESUMO " sheetId="15" state="hidden" r:id="rId2"/>
    <sheet name="VIG. DIURNO" sheetId="3" r:id="rId3"/>
    <sheet name="DIURNO  COM REPACTUAÇÃO" sheetId="11" state="hidden" r:id="rId4"/>
    <sheet name="Encarregado DIURNO " sheetId="9" r:id="rId5"/>
    <sheet name="Encarregado  NOTURNO " sheetId="10" r:id="rId6"/>
    <sheet name="VIG.  NOTURNO" sheetId="4" r:id="rId7"/>
    <sheet name="NOTURNO COM REPACTUAÇÃO" sheetId="12" state="hidden" r:id="rId8"/>
    <sheet name="Media de custo com mão de obra" sheetId="1" state="hidden" r:id="rId9"/>
    <sheet name="Media de custo com mão de o (2)" sheetId="13" r:id="rId10"/>
    <sheet name="Média de custo - Equipamentos " sheetId="2" r:id="rId11"/>
    <sheet name="Custo de Substitução nas Ferias" sheetId="5" r:id="rId12"/>
    <sheet name="Custo de Subs. nas Fe do Sup(2)" sheetId="16" state="hidden" r:id="rId13"/>
    <sheet name="QUADRO VALOR GLOBAL " sheetId="7" state="hidden" r:id="rId14"/>
    <sheet name="OBSERVAÇÕES" sheetId="8" state="hidden" r:id="rId15"/>
  </sheets>
  <externalReferences>
    <externalReference r:id="rId16"/>
  </externalReferences>
  <definedNames>
    <definedName name="_1Excel_BuiltIn_Print_Area_5_1">"$#REF!.$B$1:$G$74"</definedName>
    <definedName name="_xlnm.Print_Area" localSheetId="11">'Custo de Substitução nas Ferias'!$A$1:$H$11</definedName>
    <definedName name="_xlnm.Print_Area" localSheetId="3">'DIURNO  COM REPACTUAÇÃO'!$A$1:$J$135</definedName>
    <definedName name="_xlnm.Print_Area" localSheetId="5">'Encarregado  NOTURNO '!$A$1:$J$172</definedName>
    <definedName name="_xlnm.Print_Area" localSheetId="4">'Encarregado DIURNO '!$A$1:$J$171</definedName>
    <definedName name="_xlnm.Print_Area" localSheetId="10">'Média de custo - Equipamentos '!$A$1:$J$26</definedName>
    <definedName name="_xlnm.Print_Area" localSheetId="9">'Media de custo com mão de o (2)'!$A$1:$S$36</definedName>
    <definedName name="_xlnm.Print_Area" localSheetId="8">'Media de custo com mão de obra'!$A$1:$N$36</definedName>
    <definedName name="_xlnm.Print_Area" localSheetId="7">'NOTURNO COM REPACTUAÇÃO'!$A$1:$J$134</definedName>
    <definedName name="_xlnm.Print_Area" localSheetId="1">'QUADRO RESUMO '!$A$1:$K$6</definedName>
    <definedName name="_xlnm.Print_Area" localSheetId="0">'QUADRO RESUMO (Enc.)'!$A$1:$K$8</definedName>
    <definedName name="_xlnm.Print_Area" localSheetId="13">'QUADRO VALOR GLOBAL '!$A$1:$C$6</definedName>
    <definedName name="_xlnm.Print_Area" localSheetId="6">'VIG.  NOTURNO'!$A$1:$J$169</definedName>
    <definedName name="_xlnm.Print_Area" localSheetId="2">'VIG. DIURNO'!$A$1:$J$167</definedName>
    <definedName name="Excel_BuiltIn_Print_Area_1_1">"$#REF!.$A$1:$H$4"</definedName>
    <definedName name="Excel_BuiltIn_Print_Area_2_1" localSheetId="12">#REF!</definedName>
    <definedName name="Excel_BuiltIn_Print_Area_2_1" localSheetId="1">#REF!</definedName>
    <definedName name="Excel_BuiltIn_Print_Area_2_1">#REF!</definedName>
    <definedName name="Excel_BuiltIn_Print_Area_3_1">"$#REF!.$B$1:$F$226"</definedName>
    <definedName name="Excel_BuiltIn_Print_Area_3_1_1">"$#REF!.$B$1:$F$226"</definedName>
    <definedName name="Excel_BuiltIn_Print_Area_5_1">"$#REF!.$B$1:$G$74"</definedName>
    <definedName name="Excel_BuiltIn_Print_Area_6" localSheetId="12">#REF!</definedName>
    <definedName name="Excel_BuiltIn_Print_Area_6" localSheetId="1">#REF!</definedName>
    <definedName name="Excel_BuiltIn_Print_Area_6">#REF!</definedName>
    <definedName name="Excel_BuiltIn_Print_Area_6_1" localSheetId="12">#REF!</definedName>
    <definedName name="Excel_BuiltIn_Print_Area_6_1" localSheetId="1">#REF!</definedName>
    <definedName name="Excel_BuiltIn_Print_Area_6_1">#REF!</definedName>
    <definedName name="Excel_BuiltIn_Print_Area_7">"$#REF!.$A$1:$H$150"</definedName>
    <definedName name="MOT">NA()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2" i="3" l="1"/>
  <c r="H23" i="2" l="1"/>
  <c r="J23" i="2"/>
  <c r="G23" i="2"/>
  <c r="I23" i="2"/>
  <c r="K18" i="2" l="1"/>
  <c r="D17" i="2"/>
  <c r="E25" i="2" l="1"/>
  <c r="F25" i="2"/>
  <c r="D25" i="2"/>
  <c r="F24" i="2"/>
  <c r="E24" i="2"/>
  <c r="D24" i="2"/>
  <c r="F22" i="2"/>
  <c r="E22" i="2"/>
  <c r="D22" i="2"/>
  <c r="F21" i="2"/>
  <c r="E21" i="2"/>
  <c r="D21" i="2"/>
  <c r="F20" i="2"/>
  <c r="E20" i="2"/>
  <c r="D20" i="2"/>
  <c r="F19" i="2"/>
  <c r="E19" i="2"/>
  <c r="D19" i="2"/>
  <c r="F18" i="2"/>
  <c r="E18" i="2"/>
  <c r="D18" i="2"/>
  <c r="F17" i="2"/>
  <c r="E17" i="2"/>
  <c r="K6" i="6" l="1"/>
  <c r="K7" i="6"/>
  <c r="J145" i="4" l="1"/>
  <c r="B145" i="4"/>
  <c r="J111" i="10" l="1"/>
  <c r="H10" i="5"/>
  <c r="H9" i="5"/>
  <c r="H7" i="5"/>
  <c r="H8" i="5"/>
  <c r="H6" i="5"/>
  <c r="H5" i="5"/>
  <c r="H4" i="5"/>
  <c r="H3" i="5"/>
  <c r="G10" i="5"/>
  <c r="G9" i="5"/>
  <c r="G7" i="5"/>
  <c r="G6" i="5"/>
  <c r="G5" i="5"/>
  <c r="G4" i="5"/>
  <c r="G3" i="5"/>
  <c r="J25" i="2"/>
  <c r="M35" i="13"/>
  <c r="M17" i="13"/>
  <c r="M16" i="13"/>
  <c r="M8" i="13"/>
  <c r="M4" i="13"/>
  <c r="M36" i="13"/>
  <c r="M27" i="13"/>
  <c r="M26" i="13"/>
  <c r="M24" i="13"/>
  <c r="H11" i="5" l="1"/>
  <c r="J17" i="2"/>
  <c r="J122" i="10"/>
  <c r="J121" i="10"/>
  <c r="I116" i="10"/>
  <c r="J116" i="10" s="1"/>
  <c r="F7" i="16"/>
  <c r="F8" i="16"/>
  <c r="F5" i="16"/>
  <c r="F4" i="16"/>
  <c r="F3" i="16"/>
  <c r="J77" i="10"/>
  <c r="J72" i="9"/>
  <c r="J71" i="9"/>
  <c r="J73" i="10"/>
  <c r="J36" i="10"/>
  <c r="J35" i="10"/>
  <c r="J120" i="9"/>
  <c r="I115" i="9"/>
  <c r="J115" i="9" s="1"/>
  <c r="E7" i="16"/>
  <c r="J76" i="9"/>
  <c r="J79" i="4"/>
  <c r="B5" i="15"/>
  <c r="B4" i="15"/>
  <c r="J123" i="4"/>
  <c r="I118" i="4"/>
  <c r="F8" i="5"/>
  <c r="J36" i="4"/>
  <c r="F10" i="2" l="1"/>
  <c r="F9" i="2"/>
  <c r="F11" i="2"/>
  <c r="F12" i="2"/>
  <c r="L32" i="13"/>
  <c r="L31" i="13"/>
  <c r="L30" i="13"/>
  <c r="L29" i="13"/>
  <c r="L20" i="13"/>
  <c r="F1" i="2" s="1"/>
  <c r="L13" i="13"/>
  <c r="L12" i="13"/>
  <c r="L11" i="13"/>
  <c r="L10" i="13"/>
  <c r="J77" i="9"/>
  <c r="J33" i="9"/>
  <c r="E8" i="16" l="1"/>
  <c r="G8" i="5"/>
  <c r="G11" i="5" s="1"/>
  <c r="J110" i="9" s="1"/>
  <c r="I95" i="10"/>
  <c r="J95" i="10" s="1"/>
  <c r="I97" i="4"/>
  <c r="I100" i="4"/>
  <c r="I98" i="10"/>
  <c r="J98" i="10" s="1"/>
  <c r="I144" i="4"/>
  <c r="I142" i="10"/>
  <c r="J76" i="10"/>
  <c r="J78" i="4"/>
  <c r="F6" i="5" s="1"/>
  <c r="I146" i="4"/>
  <c r="I143" i="10"/>
  <c r="J34" i="9"/>
  <c r="J36" i="9"/>
  <c r="E3" i="16" s="1"/>
  <c r="F6" i="16" l="1"/>
  <c r="J79" i="10"/>
  <c r="J24" i="2"/>
  <c r="J22" i="2"/>
  <c r="D12" i="2"/>
  <c r="E12" i="2"/>
  <c r="J19" i="2"/>
  <c r="J18" i="2"/>
  <c r="E11" i="2"/>
  <c r="E9" i="2"/>
  <c r="E10" i="2"/>
  <c r="E1" i="2"/>
  <c r="K20" i="13"/>
  <c r="J20" i="13"/>
  <c r="G12" i="2" l="1"/>
  <c r="I115" i="3"/>
  <c r="D11" i="2"/>
  <c r="G11" i="2" s="1"/>
  <c r="D10" i="2"/>
  <c r="G10" i="2" s="1"/>
  <c r="D9" i="2"/>
  <c r="G9" i="2" s="1"/>
  <c r="E8" i="5"/>
  <c r="J21" i="2"/>
  <c r="J20" i="2"/>
  <c r="J7" i="13"/>
  <c r="M7" i="13" s="1"/>
  <c r="J10" i="13"/>
  <c r="M10" i="13" s="1"/>
  <c r="J11" i="13"/>
  <c r="M11" i="13" s="1"/>
  <c r="J12" i="13"/>
  <c r="M12" i="13" s="1"/>
  <c r="J13" i="13"/>
  <c r="M13" i="13" s="1"/>
  <c r="J29" i="13"/>
  <c r="M29" i="13" s="1"/>
  <c r="J30" i="13"/>
  <c r="M30" i="13" s="1"/>
  <c r="J31" i="13"/>
  <c r="M31" i="13" s="1"/>
  <c r="J32" i="13"/>
  <c r="M32" i="13" s="1"/>
  <c r="B33" i="13"/>
  <c r="F7" i="5"/>
  <c r="J75" i="4"/>
  <c r="J37" i="4"/>
  <c r="A6" i="12"/>
  <c r="G13" i="12"/>
  <c r="L13" i="12"/>
  <c r="M13" i="12"/>
  <c r="G21" i="12"/>
  <c r="J21" i="12" s="1"/>
  <c r="L22" i="12"/>
  <c r="N22" i="12" s="1"/>
  <c r="P22" i="12" s="1"/>
  <c r="P24" i="12" s="1"/>
  <c r="J24" i="12"/>
  <c r="E25" i="12"/>
  <c r="G26" i="12"/>
  <c r="J26" i="12"/>
  <c r="G27" i="12" s="1"/>
  <c r="J27" i="12" s="1"/>
  <c r="E28" i="12"/>
  <c r="G28" i="12"/>
  <c r="J28" i="12" s="1"/>
  <c r="G31" i="12"/>
  <c r="J31" i="12"/>
  <c r="G32" i="12"/>
  <c r="P32" i="12"/>
  <c r="G33" i="12"/>
  <c r="J33" i="12"/>
  <c r="J34" i="12" s="1"/>
  <c r="J44" i="12" s="1"/>
  <c r="G34" i="12"/>
  <c r="G39" i="12"/>
  <c r="G40" i="12"/>
  <c r="G41" i="12"/>
  <c r="H53" i="12"/>
  <c r="H87" i="12" s="1"/>
  <c r="G58" i="12"/>
  <c r="G62" i="12"/>
  <c r="L70" i="12"/>
  <c r="L74" i="12" s="1"/>
  <c r="G72" i="12"/>
  <c r="G73" i="12"/>
  <c r="H78" i="12" s="1"/>
  <c r="G75" i="12"/>
  <c r="G76" i="12" s="1"/>
  <c r="L77" i="12"/>
  <c r="J91" i="12"/>
  <c r="J92" i="12"/>
  <c r="G97" i="12"/>
  <c r="G102" i="12"/>
  <c r="G104" i="12"/>
  <c r="G105" i="12"/>
  <c r="F119" i="12"/>
  <c r="F120" i="12"/>
  <c r="J120" i="3"/>
  <c r="J76" i="3"/>
  <c r="E7" i="5" s="1"/>
  <c r="J72" i="3"/>
  <c r="G57" i="11"/>
  <c r="G56" i="11"/>
  <c r="A5" i="11"/>
  <c r="G12" i="11"/>
  <c r="G20" i="11"/>
  <c r="J20" i="11"/>
  <c r="G21" i="11"/>
  <c r="J21" i="11"/>
  <c r="G22" i="11" s="1"/>
  <c r="J22" i="11" s="1"/>
  <c r="G23" i="11"/>
  <c r="J23" i="11"/>
  <c r="J24" i="11"/>
  <c r="E25" i="11"/>
  <c r="G25" i="11"/>
  <c r="J25" i="11"/>
  <c r="G26" i="11" s="1"/>
  <c r="J26" i="11" s="1"/>
  <c r="G27" i="11"/>
  <c r="J27" i="11"/>
  <c r="G28" i="11" s="1"/>
  <c r="E28" i="11"/>
  <c r="G29" i="11"/>
  <c r="J29" i="11" s="1"/>
  <c r="G30" i="11"/>
  <c r="J30" i="11"/>
  <c r="G31" i="11" s="1"/>
  <c r="G32" i="11"/>
  <c r="J32" i="11"/>
  <c r="J33" i="11" s="1"/>
  <c r="G33" i="11"/>
  <c r="G38" i="11"/>
  <c r="G39" i="11" s="1"/>
  <c r="Q39" i="11"/>
  <c r="H52" i="11"/>
  <c r="G77" i="11" s="1"/>
  <c r="J61" i="11"/>
  <c r="H88" i="11"/>
  <c r="J92" i="11"/>
  <c r="J93" i="11" s="1"/>
  <c r="G98" i="11" s="1"/>
  <c r="G107" i="11"/>
  <c r="F120" i="11"/>
  <c r="F121" i="11"/>
  <c r="I130" i="11"/>
  <c r="J26" i="2" l="1"/>
  <c r="G106" i="12"/>
  <c r="I129" i="12" s="1"/>
  <c r="I116" i="4"/>
  <c r="I114" i="10"/>
  <c r="J114" i="10" s="1"/>
  <c r="I141" i="9"/>
  <c r="I141" i="3"/>
  <c r="I111" i="3"/>
  <c r="I111" i="9"/>
  <c r="J111" i="9" s="1"/>
  <c r="I113" i="10"/>
  <c r="J113" i="10" s="1"/>
  <c r="I115" i="4"/>
  <c r="I114" i="3"/>
  <c r="I114" i="9"/>
  <c r="J114" i="9" s="1"/>
  <c r="I97" i="3"/>
  <c r="I97" i="9"/>
  <c r="I112" i="10"/>
  <c r="J112" i="10" s="1"/>
  <c r="I114" i="4"/>
  <c r="I113" i="3"/>
  <c r="I113" i="9"/>
  <c r="J113" i="9" s="1"/>
  <c r="I94" i="3"/>
  <c r="I94" i="9"/>
  <c r="I115" i="10"/>
  <c r="J115" i="10" s="1"/>
  <c r="I117" i="4"/>
  <c r="I142" i="9"/>
  <c r="I143" i="3"/>
  <c r="I112" i="3"/>
  <c r="I112" i="9"/>
  <c r="J112" i="9" s="1"/>
  <c r="J75" i="3"/>
  <c r="E6" i="5" s="1"/>
  <c r="J75" i="9"/>
  <c r="H88" i="12"/>
  <c r="G29" i="12"/>
  <c r="J29" i="12"/>
  <c r="G30" i="12"/>
  <c r="J30" i="12" s="1"/>
  <c r="L15" i="12" s="1"/>
  <c r="L17" i="12" s="1"/>
  <c r="G57" i="12"/>
  <c r="G63" i="12" s="1"/>
  <c r="G69" i="12" s="1"/>
  <c r="J35" i="12"/>
  <c r="G22" i="12"/>
  <c r="J22" i="12" s="1"/>
  <c r="M25" i="12" s="1"/>
  <c r="G63" i="11"/>
  <c r="G69" i="11" s="1"/>
  <c r="J39" i="11"/>
  <c r="J28" i="11"/>
  <c r="H89" i="11"/>
  <c r="J34" i="11"/>
  <c r="J36" i="1"/>
  <c r="J35" i="1"/>
  <c r="J32" i="1"/>
  <c r="J31" i="1"/>
  <c r="J30" i="1"/>
  <c r="J29" i="1"/>
  <c r="J27" i="1"/>
  <c r="J26" i="1"/>
  <c r="J24" i="1"/>
  <c r="J8" i="1"/>
  <c r="J7" i="1"/>
  <c r="J5" i="1"/>
  <c r="J11" i="1"/>
  <c r="J10" i="1"/>
  <c r="J12" i="1"/>
  <c r="J13" i="1"/>
  <c r="J14" i="1"/>
  <c r="J17" i="1"/>
  <c r="J16" i="1"/>
  <c r="J33" i="1"/>
  <c r="N20" i="1"/>
  <c r="E6" i="16" l="1"/>
  <c r="J78" i="9"/>
  <c r="N17" i="12"/>
  <c r="L18" i="12"/>
  <c r="L19" i="12" s="1"/>
  <c r="J85" i="12"/>
  <c r="J86" i="12"/>
  <c r="I39" i="12"/>
  <c r="J51" i="12"/>
  <c r="J75" i="12"/>
  <c r="J76" i="12" s="1"/>
  <c r="J74" i="12"/>
  <c r="J83" i="12"/>
  <c r="I40" i="12"/>
  <c r="J41" i="12" s="1"/>
  <c r="G67" i="12" s="1"/>
  <c r="J49" i="12"/>
  <c r="J72" i="12"/>
  <c r="J84" i="12"/>
  <c r="I125" i="12"/>
  <c r="J46" i="12"/>
  <c r="J50" i="12"/>
  <c r="J53" i="12"/>
  <c r="G68" i="12" s="1"/>
  <c r="J77" i="12"/>
  <c r="J81" i="12"/>
  <c r="J88" i="12" s="1"/>
  <c r="G96" i="12" s="1"/>
  <c r="G98" i="12" s="1"/>
  <c r="I128" i="12" s="1"/>
  <c r="J82" i="12"/>
  <c r="J87" i="12"/>
  <c r="J87" i="11"/>
  <c r="J75" i="11"/>
  <c r="J84" i="11"/>
  <c r="J73" i="11"/>
  <c r="J76" i="11"/>
  <c r="J77" i="11" s="1"/>
  <c r="J85" i="11"/>
  <c r="J86" i="11"/>
  <c r="I126" i="11"/>
  <c r="J83" i="11"/>
  <c r="J38" i="11"/>
  <c r="M30" i="11" s="1"/>
  <c r="J78" i="11"/>
  <c r="J88" i="11"/>
  <c r="J45" i="12" l="1"/>
  <c r="J52" i="12"/>
  <c r="J47" i="12"/>
  <c r="G70" i="12"/>
  <c r="I126" i="12" s="1"/>
  <c r="I130" i="12" s="1"/>
  <c r="J48" i="12"/>
  <c r="J73" i="12"/>
  <c r="J78" i="12"/>
  <c r="I127" i="12" s="1"/>
  <c r="J74" i="11"/>
  <c r="G74" i="11" s="1"/>
  <c r="H79" i="11" s="1"/>
  <c r="J89" i="11"/>
  <c r="G97" i="11" s="1"/>
  <c r="G99" i="11" s="1"/>
  <c r="I129" i="11" s="1"/>
  <c r="J40" i="11"/>
  <c r="I110" i="12" l="1"/>
  <c r="H119" i="12" s="1"/>
  <c r="I133" i="12" s="1"/>
  <c r="G67" i="11"/>
  <c r="K42" i="11"/>
  <c r="M45" i="11" s="1"/>
  <c r="O47" i="11" s="1"/>
  <c r="J51" i="11"/>
  <c r="J47" i="11"/>
  <c r="J46" i="11"/>
  <c r="J49" i="11"/>
  <c r="J45" i="11"/>
  <c r="L40" i="11"/>
  <c r="L49" i="11" s="1"/>
  <c r="L50" i="11" s="1"/>
  <c r="J44" i="11"/>
  <c r="J52" i="11" s="1"/>
  <c r="G68" i="11" s="1"/>
  <c r="J50" i="11"/>
  <c r="J48" i="11"/>
  <c r="J79" i="11"/>
  <c r="I128" i="11" s="1"/>
  <c r="I113" i="12" l="1"/>
  <c r="I114" i="12"/>
  <c r="I118" i="12"/>
  <c r="J134" i="12"/>
  <c r="G70" i="11"/>
  <c r="I127" i="11" s="1"/>
  <c r="D26" i="2"/>
  <c r="J33" i="10"/>
  <c r="J38" i="4"/>
  <c r="H120" i="12" l="1"/>
  <c r="I131" i="12" s="1"/>
  <c r="J34" i="10"/>
  <c r="J72" i="10"/>
  <c r="J37" i="10"/>
  <c r="I131" i="11"/>
  <c r="J34" i="4"/>
  <c r="J74" i="4" s="1"/>
  <c r="J81" i="4" s="1"/>
  <c r="I111" i="11" l="1"/>
  <c r="J35" i="3"/>
  <c r="J33" i="3"/>
  <c r="J71" i="3" l="1"/>
  <c r="J34" i="3"/>
  <c r="J36" i="3" s="1"/>
  <c r="H120" i="11"/>
  <c r="J134" i="11" s="1"/>
  <c r="G4" i="7"/>
  <c r="J127" i="10"/>
  <c r="B172" i="10"/>
  <c r="I96" i="10"/>
  <c r="I64" i="10"/>
  <c r="I99" i="10" s="1"/>
  <c r="I48" i="10"/>
  <c r="B170" i="9"/>
  <c r="J121" i="9"/>
  <c r="J126" i="9" s="1"/>
  <c r="I95" i="9"/>
  <c r="I63" i="9"/>
  <c r="I98" i="9" s="1"/>
  <c r="I47" i="9"/>
  <c r="J97" i="9" l="1"/>
  <c r="J45" i="9"/>
  <c r="J94" i="9"/>
  <c r="E3" i="5"/>
  <c r="J45" i="3"/>
  <c r="J46" i="3"/>
  <c r="J115" i="3"/>
  <c r="J111" i="3"/>
  <c r="J113" i="3"/>
  <c r="J112" i="3"/>
  <c r="J94" i="3"/>
  <c r="J97" i="3"/>
  <c r="J114" i="3"/>
  <c r="I119" i="11"/>
  <c r="J135" i="11"/>
  <c r="I114" i="11"/>
  <c r="I115" i="11"/>
  <c r="J99" i="9"/>
  <c r="J158" i="9"/>
  <c r="L44" i="9"/>
  <c r="J46" i="9"/>
  <c r="J96" i="9"/>
  <c r="J47" i="9" l="1"/>
  <c r="E4" i="16" s="1"/>
  <c r="J47" i="3"/>
  <c r="E4" i="5" s="1"/>
  <c r="H121" i="11"/>
  <c r="I132" i="11" s="1"/>
  <c r="J97" i="10"/>
  <c r="J46" i="10"/>
  <c r="J47" i="10"/>
  <c r="J159" i="10"/>
  <c r="J100" i="10"/>
  <c r="N44" i="9"/>
  <c r="O44" i="9" s="1"/>
  <c r="M44" i="9"/>
  <c r="A4" i="8"/>
  <c r="A3" i="8"/>
  <c r="A2" i="8"/>
  <c r="B5" i="6"/>
  <c r="B4" i="6"/>
  <c r="B175" i="4"/>
  <c r="J124" i="4"/>
  <c r="J129" i="4" s="1"/>
  <c r="I98" i="4"/>
  <c r="I66" i="4"/>
  <c r="S50" i="4"/>
  <c r="I50" i="4"/>
  <c r="J35" i="4"/>
  <c r="J121" i="3"/>
  <c r="J126" i="3" s="1"/>
  <c r="I95" i="3"/>
  <c r="I47" i="3"/>
  <c r="J15" i="2"/>
  <c r="C8" i="2"/>
  <c r="F8" i="2" s="1"/>
  <c r="C7" i="2"/>
  <c r="F7" i="2" s="1"/>
  <c r="C6" i="2"/>
  <c r="F6" i="2" s="1"/>
  <c r="C5" i="2"/>
  <c r="F5" i="2" s="1"/>
  <c r="C4" i="2"/>
  <c r="F4" i="2" s="1"/>
  <c r="C3" i="2"/>
  <c r="F15" i="2"/>
  <c r="E15" i="2"/>
  <c r="D15" i="2"/>
  <c r="N43" i="1"/>
  <c r="E3" i="2" l="1"/>
  <c r="F3" i="2"/>
  <c r="J48" i="10"/>
  <c r="J87" i="10" s="1"/>
  <c r="D3" i="2"/>
  <c r="G3" i="2" s="1"/>
  <c r="D7" i="2"/>
  <c r="E7" i="2"/>
  <c r="D8" i="2"/>
  <c r="E8" i="2"/>
  <c r="D5" i="2"/>
  <c r="G5" i="2" s="1"/>
  <c r="E5" i="2"/>
  <c r="D4" i="2"/>
  <c r="E4" i="2"/>
  <c r="D6" i="2"/>
  <c r="G6" i="2" s="1"/>
  <c r="E6" i="2"/>
  <c r="F26" i="2"/>
  <c r="J39" i="4"/>
  <c r="J99" i="3"/>
  <c r="P44" i="9"/>
  <c r="Q44" i="9" s="1"/>
  <c r="Q45" i="9" s="1"/>
  <c r="Q49" i="9" s="1"/>
  <c r="J63" i="10"/>
  <c r="J62" i="10"/>
  <c r="J58" i="10"/>
  <c r="J60" i="10"/>
  <c r="J59" i="10"/>
  <c r="J56" i="10"/>
  <c r="J86" i="9"/>
  <c r="J55" i="9"/>
  <c r="J58" i="9"/>
  <c r="J59" i="9"/>
  <c r="J57" i="9"/>
  <c r="J62" i="9"/>
  <c r="J60" i="9"/>
  <c r="J61" i="9"/>
  <c r="J56" i="9"/>
  <c r="J95" i="3"/>
  <c r="E26" i="2"/>
  <c r="I101" i="4"/>
  <c r="I63" i="3"/>
  <c r="I98" i="3" s="1"/>
  <c r="G4" i="2" l="1"/>
  <c r="G8" i="2"/>
  <c r="G7" i="2"/>
  <c r="J136" i="4"/>
  <c r="J61" i="10"/>
  <c r="J57" i="10"/>
  <c r="J100" i="4"/>
  <c r="J101" i="4" s="1"/>
  <c r="F3" i="5"/>
  <c r="J97" i="4"/>
  <c r="J116" i="4"/>
  <c r="J117" i="4"/>
  <c r="J118" i="4"/>
  <c r="J114" i="4"/>
  <c r="J115" i="4"/>
  <c r="J49" i="4"/>
  <c r="J48" i="4"/>
  <c r="J50" i="4" s="1"/>
  <c r="F4" i="5" s="1"/>
  <c r="J58" i="4"/>
  <c r="J63" i="9"/>
  <c r="D13" i="2"/>
  <c r="J96" i="10"/>
  <c r="J99" i="10"/>
  <c r="J102" i="4"/>
  <c r="L50" i="4"/>
  <c r="K50" i="4"/>
  <c r="J162" i="4"/>
  <c r="J99" i="4"/>
  <c r="J96" i="3"/>
  <c r="J98" i="9"/>
  <c r="J95" i="9"/>
  <c r="J159" i="3"/>
  <c r="E13" i="2"/>
  <c r="J88" i="9"/>
  <c r="J64" i="10"/>
  <c r="J88" i="10" s="1"/>
  <c r="M50" i="4"/>
  <c r="N50" i="4" s="1"/>
  <c r="Q50" i="4"/>
  <c r="F13" i="2"/>
  <c r="J98" i="3"/>
  <c r="G13" i="2" l="1"/>
  <c r="J134" i="4" s="1"/>
  <c r="F10" i="5" s="1"/>
  <c r="J133" i="3"/>
  <c r="J87" i="9"/>
  <c r="E5" i="16"/>
  <c r="J98" i="4"/>
  <c r="J103" i="4" s="1"/>
  <c r="F9" i="5" s="1"/>
  <c r="J100" i="3"/>
  <c r="E9" i="5" s="1"/>
  <c r="J78" i="3"/>
  <c r="J88" i="3" s="1"/>
  <c r="J91" i="4"/>
  <c r="J100" i="9"/>
  <c r="E9" i="16" s="1"/>
  <c r="J89" i="9"/>
  <c r="J159" i="9" s="1"/>
  <c r="J101" i="10"/>
  <c r="F9" i="16" s="1"/>
  <c r="F10" i="16" s="1"/>
  <c r="I111" i="10" s="1"/>
  <c r="J62" i="3"/>
  <c r="J56" i="3"/>
  <c r="N51" i="4"/>
  <c r="P50" i="4" s="1"/>
  <c r="J89" i="10"/>
  <c r="J89" i="4"/>
  <c r="J161" i="3" l="1"/>
  <c r="J90" i="10"/>
  <c r="J160" i="10" s="1"/>
  <c r="E10" i="16"/>
  <c r="I110" i="9" s="1"/>
  <c r="J135" i="9"/>
  <c r="J162" i="9" s="1"/>
  <c r="J131" i="3"/>
  <c r="E10" i="5" s="1"/>
  <c r="J59" i="4"/>
  <c r="J60" i="4"/>
  <c r="J164" i="4"/>
  <c r="J65" i="4"/>
  <c r="J61" i="4"/>
  <c r="J62" i="4"/>
  <c r="J63" i="4"/>
  <c r="J64" i="4"/>
  <c r="R50" i="4"/>
  <c r="J61" i="3"/>
  <c r="J60" i="3"/>
  <c r="J58" i="3"/>
  <c r="J86" i="3"/>
  <c r="J55" i="3"/>
  <c r="J57" i="3"/>
  <c r="J59" i="3"/>
  <c r="T50" i="4"/>
  <c r="J160" i="9"/>
  <c r="J161" i="10"/>
  <c r="J116" i="9" l="1"/>
  <c r="J63" i="3"/>
  <c r="J66" i="4"/>
  <c r="F5" i="5" s="1"/>
  <c r="F11" i="5" s="1"/>
  <c r="J113" i="4" s="1"/>
  <c r="J90" i="4"/>
  <c r="J136" i="10"/>
  <c r="J163" i="10" s="1"/>
  <c r="J117" i="10"/>
  <c r="J126" i="10" s="1"/>
  <c r="J138" i="4"/>
  <c r="J166" i="4" s="1"/>
  <c r="J135" i="3"/>
  <c r="J163" i="3" s="1"/>
  <c r="J128" i="10" l="1"/>
  <c r="J162" i="10" s="1"/>
  <c r="J164" i="10" s="1"/>
  <c r="J142" i="10" s="1"/>
  <c r="J143" i="10" s="1"/>
  <c r="J166" i="10" s="1"/>
  <c r="J92" i="4"/>
  <c r="J163" i="4" s="1"/>
  <c r="I113" i="4"/>
  <c r="J119" i="4"/>
  <c r="J128" i="4" s="1"/>
  <c r="J130" i="4" s="1"/>
  <c r="J165" i="4" s="1"/>
  <c r="J87" i="3"/>
  <c r="J89" i="3" s="1"/>
  <c r="E5" i="5"/>
  <c r="E11" i="5" s="1"/>
  <c r="J110" i="3" s="1"/>
  <c r="I110" i="3" s="1"/>
  <c r="D7" i="6" l="1"/>
  <c r="G7" i="6" s="1"/>
  <c r="J7" i="6" s="1"/>
  <c r="J167" i="10"/>
  <c r="J167" i="4"/>
  <c r="J116" i="3"/>
  <c r="J125" i="3" s="1"/>
  <c r="J127" i="3" s="1"/>
  <c r="J162" i="3" s="1"/>
  <c r="J147" i="10"/>
  <c r="D172" i="10"/>
  <c r="G172" i="10" s="1"/>
  <c r="J172" i="10" s="1"/>
  <c r="J150" i="10"/>
  <c r="J146" i="10"/>
  <c r="J125" i="9"/>
  <c r="J144" i="4" l="1"/>
  <c r="J146" i="4" s="1"/>
  <c r="J169" i="4" s="1"/>
  <c r="J127" i="9"/>
  <c r="J161" i="9" s="1"/>
  <c r="J163" i="9" s="1"/>
  <c r="J151" i="10"/>
  <c r="J165" i="10" s="1"/>
  <c r="J141" i="9" l="1"/>
  <c r="J142" i="9" s="1"/>
  <c r="J165" i="9" s="1"/>
  <c r="J171" i="9" s="1"/>
  <c r="D5" i="15"/>
  <c r="G5" i="15" s="1"/>
  <c r="J5" i="15" s="1"/>
  <c r="D5" i="6"/>
  <c r="J149" i="4"/>
  <c r="J150" i="4"/>
  <c r="J153" i="4"/>
  <c r="D175" i="4"/>
  <c r="G175" i="4" s="1"/>
  <c r="J175" i="4" s="1"/>
  <c r="G5" i="6" l="1"/>
  <c r="C4" i="7" s="1"/>
  <c r="J154" i="4"/>
  <c r="J168" i="4" s="1"/>
  <c r="D6" i="6"/>
  <c r="G6" i="6" s="1"/>
  <c r="J6" i="6" s="1"/>
  <c r="J145" i="9"/>
  <c r="J149" i="9"/>
  <c r="J146" i="9"/>
  <c r="D170" i="9"/>
  <c r="G170" i="9" s="1"/>
  <c r="J170" i="9" s="1"/>
  <c r="K5" i="15"/>
  <c r="J5" i="6" l="1"/>
  <c r="K5" i="6" s="1"/>
  <c r="J150" i="9"/>
  <c r="J164" i="9" s="1"/>
  <c r="J160" i="3"/>
  <c r="J164" i="3" s="1"/>
  <c r="J141" i="3" l="1"/>
  <c r="J143" i="3" s="1"/>
  <c r="J166" i="3" l="1"/>
  <c r="J146" i="3" l="1"/>
  <c r="D4" i="15"/>
  <c r="G4" i="15" s="1"/>
  <c r="J4" i="15" s="1"/>
  <c r="K4" i="15" s="1"/>
  <c r="K6" i="15" s="1"/>
  <c r="D4" i="6"/>
  <c r="G4" i="6" s="1"/>
  <c r="C3" i="7" s="1"/>
  <c r="J150" i="3"/>
  <c r="J147" i="3"/>
  <c r="J4" i="6" l="1"/>
  <c r="K4" i="6" s="1"/>
  <c r="K8" i="6" s="1"/>
  <c r="J6" i="15"/>
  <c r="J151" i="3"/>
  <c r="J165" i="3" s="1"/>
  <c r="J8" i="6" l="1"/>
  <c r="C5" i="7" s="1"/>
  <c r="C6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Everton Farias dos Reis</author>
  </authors>
  <commentList>
    <comment ref="J7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Valor obtido através de pesquisa de Mercado.</t>
        </r>
      </text>
    </comment>
    <comment ref="J94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Valor obtido através de pesquisa de mercado</t>
        </r>
      </text>
    </comment>
    <comment ref="J97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Valor obtido através de presquisa de mercado.</t>
        </r>
      </text>
    </comment>
    <comment ref="J111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Valor obtido através de pesquisa de mercado.</t>
        </r>
      </text>
    </comment>
    <comment ref="J120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houve aumento do intervalo intrajornada de 12,01 para 12,42</t>
        </r>
      </text>
    </comment>
    <comment ref="J131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Valor Obtido Através de pesquisa de mercado.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everton</author>
    <author>Everton Farias dos Reis</author>
  </authors>
  <commentList>
    <comment ref="J75" authorId="0" shapeId="0" xr:uid="{00000000-0006-0000-3800-000002000000}">
      <text>
        <r>
          <rPr>
            <b/>
            <sz val="9"/>
            <color indexed="81"/>
            <rFont val="Segoe UI"/>
            <family val="2"/>
          </rPr>
          <t>everton:</t>
        </r>
        <r>
          <rPr>
            <sz val="9"/>
            <color indexed="81"/>
            <rFont val="Segoe UI"/>
            <family val="2"/>
          </rPr>
          <t xml:space="preserve">
A empresa majorou o percentua de fgts  e contribuição social, sendo que essa aliquota deve ser at´4 % devido a extinção do contribuição social.</t>
        </r>
      </text>
    </comment>
    <comment ref="J83" authorId="0" shapeId="0" xr:uid="{00000000-0006-0000-3800-000003000000}">
      <text>
        <r>
          <rPr>
            <b/>
            <sz val="9"/>
            <color indexed="81"/>
            <rFont val="Segoe UI"/>
            <family val="2"/>
          </rPr>
          <t>everton:</t>
        </r>
        <r>
          <rPr>
            <sz val="9"/>
            <color indexed="81"/>
            <rFont val="Segoe UI"/>
            <family val="2"/>
          </rPr>
          <t xml:space="preserve">
A empresa retornou os custos de reposição de profissional ausente. Sendo que esses custos so são revistos na Prorrogação </t>
        </r>
      </text>
    </comment>
    <comment ref="J92" authorId="1" shapeId="0" xr:uid="{00000000-0006-0000-3800-000004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houve aumento do intervalo intrajornada de 12,42 para 13,06</t>
        </r>
      </text>
    </comment>
    <comment ref="H121" authorId="1" shapeId="0" xr:uid="{00000000-0006-0000-3800-000005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Modulo 6 sobre Custos INDIRETOS, TRIBUTOS E LUCRO ficou maior por causa o Modulo provisão para rescisão não tinha sido alterado.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Everton Farias dos Reis</author>
  </authors>
  <commentList>
    <comment ref="J75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obtido através de pesquisa
</t>
        </r>
      </text>
    </comment>
    <comment ref="J94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valor obtido através de pesquisa</t>
        </r>
      </text>
    </comment>
    <comment ref="J120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houve aumento do intervalo intrajornada de 12,01 para 12,42</t>
        </r>
      </text>
    </comment>
    <comment ref="J131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Valor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Everton Farias dos Reis</author>
  </authors>
  <commentList>
    <comment ref="J121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houve aumento do intervalo intrajornada de 12,01 para 12,42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Everton Farias dos Reis</author>
  </authors>
  <commentList>
    <comment ref="J123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Everton Farias dos Reis:</t>
        </r>
        <r>
          <rPr>
            <sz val="9"/>
            <color indexed="81"/>
            <rFont val="Tahoma"/>
            <family val="2"/>
          </rPr>
          <t xml:space="preserve">
houve aumento do intervalo intrajornada de 12,01 para 12,42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everton</author>
  </authors>
  <commentList>
    <comment ref="J25" authorId="0" shapeId="0" xr:uid="{00000000-0006-0000-3900-000001000000}">
      <text>
        <r>
          <rPr>
            <b/>
            <sz val="9"/>
            <color indexed="81"/>
            <rFont val="Segoe UI"/>
            <family val="2"/>
          </rPr>
          <t>everton:</t>
        </r>
        <r>
          <rPr>
            <sz val="9"/>
            <color indexed="81"/>
            <rFont val="Segoe UI"/>
            <family val="2"/>
          </rPr>
          <t xml:space="preserve">
A empresa incluiu o custo de dsr que está previsto na CCT. Porém a essa rubrica foi excluida , conf. Not. Tecn. CGIMA.</t>
        </r>
      </text>
    </comment>
    <comment ref="G61" authorId="0" shapeId="0" xr:uid="{00000000-0006-0000-3900-000002000000}">
      <text>
        <r>
          <rPr>
            <b/>
            <sz val="9"/>
            <color indexed="81"/>
            <rFont val="Segoe UI"/>
            <family val="2"/>
          </rPr>
          <t>everton:</t>
        </r>
        <r>
          <rPr>
            <sz val="9"/>
            <color indexed="81"/>
            <rFont val="Segoe UI"/>
            <family val="2"/>
          </rPr>
          <t xml:space="preserve">
A empresa maj. O seg. de vid. Sem compr.
Foi incluido o custo do dia do vigilânte. </t>
        </r>
      </text>
    </comment>
    <comment ref="J74" authorId="0" shapeId="0" xr:uid="{00000000-0006-0000-3900-000003000000}">
      <text>
        <r>
          <rPr>
            <b/>
            <sz val="9"/>
            <color indexed="81"/>
            <rFont val="Segoe UI"/>
            <family val="2"/>
          </rPr>
          <t>everton:</t>
        </r>
        <r>
          <rPr>
            <sz val="9"/>
            <color indexed="81"/>
            <rFont val="Segoe UI"/>
            <family val="2"/>
          </rPr>
          <t xml:space="preserve">
A empres majorou o percentual de FGTS, sem comprovações</t>
        </r>
      </text>
    </comment>
    <comment ref="J86" authorId="0" shapeId="0" xr:uid="{00000000-0006-0000-3900-000004000000}">
      <text>
        <r>
          <rPr>
            <b/>
            <sz val="9"/>
            <color indexed="81"/>
            <rFont val="Segoe UI"/>
            <family val="2"/>
          </rPr>
          <t>everton:</t>
        </r>
        <r>
          <rPr>
            <sz val="9"/>
            <color indexed="81"/>
            <rFont val="Segoe UI"/>
            <family val="2"/>
          </rPr>
          <t xml:space="preserve">
A empresa incl. Os cust. Não ren. Que haviam sid. Ret. Na ult. Prorr.</t>
        </r>
      </text>
    </comment>
  </commentList>
</comments>
</file>

<file path=xl/sharedStrings.xml><?xml version="1.0" encoding="utf-8"?>
<sst xmlns="http://schemas.openxmlformats.org/spreadsheetml/2006/main" count="1697" uniqueCount="400">
  <si>
    <t>Pesquisa de Mercado Custos Com Mão de Obra -  Vigilânte Diurno</t>
  </si>
  <si>
    <t>ITEM</t>
  </si>
  <si>
    <t>DESCRIÇÃO</t>
  </si>
  <si>
    <t>Valores Médios Mensais/Empregado Pesquisados</t>
  </si>
  <si>
    <t>2.2</t>
  </si>
  <si>
    <t>GPS, FGTS e outras contribuições</t>
  </si>
  <si>
    <t>Percentual Médio</t>
  </si>
  <si>
    <t>Percentual 1</t>
  </si>
  <si>
    <t>Percentual 2</t>
  </si>
  <si>
    <t>Percentual 3</t>
  </si>
  <si>
    <t>Percentual 4</t>
  </si>
  <si>
    <t>G</t>
  </si>
  <si>
    <t>SAT</t>
  </si>
  <si>
    <t xml:space="preserve">2.3 </t>
  </si>
  <si>
    <t>BENEFÍCIOS MENSAIS E DIÁRIOS</t>
  </si>
  <si>
    <t xml:space="preserve"> Valor Médio </t>
  </si>
  <si>
    <t>Valor 1</t>
  </si>
  <si>
    <t>Valor 2</t>
  </si>
  <si>
    <t>Valor 3</t>
  </si>
  <si>
    <t>Valor 4</t>
  </si>
  <si>
    <t>E</t>
  </si>
  <si>
    <t xml:space="preserve">Seguro de vida , invalidez e funeral  </t>
  </si>
  <si>
    <t>Provisão para Rescisão</t>
  </si>
  <si>
    <t>A</t>
  </si>
  <si>
    <t xml:space="preserve">Aviso Prévio Indenizado    </t>
  </si>
  <si>
    <t>D</t>
  </si>
  <si>
    <t xml:space="preserve">Aviso prévio trabalhado       </t>
  </si>
  <si>
    <t>4.1</t>
  </si>
  <si>
    <t>Substituto nas Ausências Legais</t>
  </si>
  <si>
    <t>Substituto na cobertura de Férias</t>
  </si>
  <si>
    <t>B</t>
  </si>
  <si>
    <t>Substituto na cobertura de Ausências Legais</t>
  </si>
  <si>
    <t>C</t>
  </si>
  <si>
    <t>Substituto na cobertura de Licença-Paternidade</t>
  </si>
  <si>
    <t>Substituto na cobertura de Ausência por acidente de trabalho</t>
  </si>
  <si>
    <t>Substituto na cobertura de Afastamento Maternidade</t>
  </si>
  <si>
    <t xml:space="preserve"> </t>
  </si>
  <si>
    <t>F</t>
  </si>
  <si>
    <t xml:space="preserve">Substituto na cobertura de  ausências por Doença </t>
  </si>
  <si>
    <t>Custos Indiretos, Tributos e Lucro</t>
  </si>
  <si>
    <t>Percentual Medio</t>
  </si>
  <si>
    <t>Custos Indiretos</t>
  </si>
  <si>
    <t xml:space="preserve">B </t>
  </si>
  <si>
    <t>Lucro</t>
  </si>
  <si>
    <t>Pesquisa de Mercado Custos Com Mão de Obra -  Vigilânte Noturno</t>
  </si>
  <si>
    <t>Valores Médios Pesquisados</t>
  </si>
  <si>
    <t>UNIFORME MASCULINO E FEMININO</t>
  </si>
  <si>
    <t>Peça</t>
  </si>
  <si>
    <t>Qtde. Semestral</t>
  </si>
  <si>
    <t>Qantidade Anual</t>
  </si>
  <si>
    <t>Valor Mensal por Empregado</t>
  </si>
  <si>
    <t>Calça</t>
  </si>
  <si>
    <t>Camisa de mangas  curtas</t>
  </si>
  <si>
    <t>Cinto de Nylon ou similar</t>
  </si>
  <si>
    <t>Par de Sapatos</t>
  </si>
  <si>
    <t>Par de Meias</t>
  </si>
  <si>
    <t>Quepe com emblema</t>
  </si>
  <si>
    <t>Total</t>
  </si>
  <si>
    <t>Materiais e Equipamentos</t>
  </si>
  <si>
    <t>Discriminação</t>
  </si>
  <si>
    <t>Revolver Calibre 38</t>
  </si>
  <si>
    <t>Munição Calibre 38</t>
  </si>
  <si>
    <t>Colete Balisístico à prova de balas de uso permitido para vigilantes que trabalhem portando arma de fogo, para proteção do tronco contra riscos de origem mecânica.</t>
  </si>
  <si>
    <t>Capa de Colete Balístico</t>
  </si>
  <si>
    <t>Cassetete</t>
  </si>
  <si>
    <t>Cinto de Guarnição completa, com coldre, porta cassetete, suporte para rádio de comunicação, porta munição etc.</t>
  </si>
  <si>
    <t>Apito com Cordão</t>
  </si>
  <si>
    <t>Sistema de comunicação por rádio ou similar entre os vigilantes</t>
  </si>
  <si>
    <t>Crachá  com foto, nome da empresa, dados pessoais do vigilante, inscrição DRT e Certificado.</t>
  </si>
  <si>
    <t>Livro de ocorrências</t>
  </si>
  <si>
    <t>PLANILHA DE CUSTOS E FORMAÇÃO DE PREÇOS - SUDAM</t>
  </si>
  <si>
    <t>PREGÃO ELETRÔNICO:</t>
  </si>
  <si>
    <t>DISCRIMINAÇÃO DOS SERVIÇOS (DADOS REFERENTES À CONTRATAÇÃO)</t>
  </si>
  <si>
    <t>Data de apresentação da proposta (dia/mês/ano):</t>
  </si>
  <si>
    <t>Município/UF:</t>
  </si>
  <si>
    <t>Belém/PA</t>
  </si>
  <si>
    <t>Ano do Acordo, Convenção ou Dissídio Coletivo:</t>
  </si>
  <si>
    <t>CCT 2020/2021- SINDIVIPA-SINDESP/PA - CBO 5173-30</t>
  </si>
  <si>
    <t>Número de meses de execução contratual:</t>
  </si>
  <si>
    <t>IDENTIFICAÇÃO DO SERVIÇO</t>
  </si>
  <si>
    <t>Tipo de Serviço</t>
  </si>
  <si>
    <t>Unidade de Medida</t>
  </si>
  <si>
    <t>Quantidade total a contratar</t>
  </si>
  <si>
    <t xml:space="preserve">Vigilância Armada  - 12 (doze) horas diurnas, de segunda-feira a domingo, envolvendo 2 (dois) vigilantes em turnos de 12 (doze) por 36 (trinta e seis) horas.
</t>
  </si>
  <si>
    <t>Posto</t>
  </si>
  <si>
    <t>1. MÓDULOS</t>
  </si>
  <si>
    <t>Mão de obra</t>
  </si>
  <si>
    <t>Mão de obra vinculada à execução contratual</t>
  </si>
  <si>
    <t>Dados para composição dos custos referentes a mão de obra</t>
  </si>
  <si>
    <t xml:space="preserve">Tipo de Serviço </t>
  </si>
  <si>
    <t xml:space="preserve">Vigilância Armada  - 12 (doze) horas diurnas, de segunda-feira a domingo, envolvendo 2 (dois) vigilantes em turnos de 12 x 36  horas.
</t>
  </si>
  <si>
    <t>Classificação Brasileira de Ocupações (CBO)</t>
  </si>
  <si>
    <t xml:space="preserve"> CBO 5173-30</t>
  </si>
  <si>
    <t>Salário Normativo da Categoria Profissional</t>
  </si>
  <si>
    <t>Categoria Profissional (vinculada à execução contratual)</t>
  </si>
  <si>
    <t>Vigilânte</t>
  </si>
  <si>
    <t>Data-Base da Categoria (dia/mês/ano)</t>
  </si>
  <si>
    <t>Hora Normal</t>
  </si>
  <si>
    <t>Adicional Noturno 20%</t>
  </si>
  <si>
    <t>Hora Extra Diurna com 50%</t>
  </si>
  <si>
    <t>Hora Extra Noturna  com 50%</t>
  </si>
  <si>
    <t>Feriado Pagamento em Dobro - Dia do Vigilânte</t>
  </si>
  <si>
    <t xml:space="preserve">Módulo 1 - Composição da Remuneração </t>
  </si>
  <si>
    <t xml:space="preserve"> Composição da Remuneração</t>
  </si>
  <si>
    <t>Salário-Base</t>
  </si>
  <si>
    <t>Adicional de Periculosidade      =30% x (Salário-Base)</t>
  </si>
  <si>
    <r>
      <t>OBS:</t>
    </r>
    <r>
      <rPr>
        <sz val="11"/>
        <rFont val="Arial"/>
        <family val="2"/>
      </rPr>
      <t xml:space="preserve"> O valor a ser pago a titulo de diferença de parcelas de repactução não pagas será igual a:                                                                                          </t>
    </r>
    <r>
      <rPr>
        <b/>
        <sz val="11"/>
        <rFont val="Arial"/>
        <family val="2"/>
      </rPr>
      <t>(R$ 3.132,01)  x (quantidade de parcelas mesnsais pagas sem repactução</t>
    </r>
    <r>
      <rPr>
        <sz val="11"/>
        <rFont val="Arial"/>
        <family val="2"/>
      </rPr>
      <t>).</t>
    </r>
  </si>
  <si>
    <t xml:space="preserve">Total da Remuneração </t>
  </si>
  <si>
    <t>Nota 1: O Módulo 1 refere-se ao valor mensal devido ao empregado pela prestação do serviço no período de 12 meses.</t>
  </si>
  <si>
    <t>Módulo 2 - Encargos e Benefícios Anuais, Mensais e Diários</t>
  </si>
  <si>
    <t xml:space="preserve"> Submódulo 2.1 - 13º (décimo terceiro) Salário, Férias e Adicional de Férias</t>
  </si>
  <si>
    <t>Salario</t>
  </si>
  <si>
    <t>Decimo</t>
  </si>
  <si>
    <t>Férias</t>
  </si>
  <si>
    <t>1/3 Férias</t>
  </si>
  <si>
    <t>Subtotal</t>
  </si>
  <si>
    <t>Encargos</t>
  </si>
  <si>
    <t>2.1</t>
  </si>
  <si>
    <t>13º (décimo terceiro) Salário, Férias e Adicional de Férias</t>
  </si>
  <si>
    <t>13º (décimo terceiro) Salário            =(8,33%  x  Total da Remuneração)</t>
  </si>
  <si>
    <t>Férias e Adicional de Férias             =(8,33% + 2,78%)  x Total da Remuneração)</t>
  </si>
  <si>
    <t xml:space="preserve">TOTAL </t>
  </si>
  <si>
    <t xml:space="preserve">Nota 1: Como a planilha de custos e formação de preços é calculada mensalmente, provisiona-se proporcionalmente 1/12 (um doze avos) dos valores referentes a gratificação natalina, férias e adicional de férias. </t>
  </si>
  <si>
    <t>Nota 2: O adicional de férias contido no Submódulo 2.1 corresponde a 1/3 (um terço) da remuneração que por sua vez é divido por 12 (doze) conforme Nota 1 acima.</t>
  </si>
  <si>
    <t>Nota 3: 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</t>
  </si>
  <si>
    <t>Submódulo 2.2 - Encargos Previdenciários (GPS), Fundo de Garantia por Tempo de Serviço (FGTS) e outras contribuições.</t>
  </si>
  <si>
    <t>%</t>
  </si>
  <si>
    <t>INSS</t>
  </si>
  <si>
    <t xml:space="preserve">SALÁRIO EDUCAÇÃO </t>
  </si>
  <si>
    <t>SESC ou SESI</t>
  </si>
  <si>
    <t xml:space="preserve">SENAI ou SENAC </t>
  </si>
  <si>
    <t>H</t>
  </si>
  <si>
    <t xml:space="preserve">SEBRAE </t>
  </si>
  <si>
    <t xml:space="preserve">INCRA </t>
  </si>
  <si>
    <t xml:space="preserve">FGTS 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</si>
  <si>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</si>
  <si>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</si>
  <si>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2.1.</t>
  </si>
  <si>
    <t>Submódulo 2.3 - Benefícios Mensais e Diários.</t>
  </si>
  <si>
    <t xml:space="preserve">Assistência médica e familiar </t>
  </si>
  <si>
    <t xml:space="preserve">Auxilio Creche </t>
  </si>
  <si>
    <t xml:space="preserve">Total da Benefícios mensais e diários 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</si>
  <si>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</si>
  <si>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 05/2017 SEGES.</t>
  </si>
  <si>
    <t>Quadro-Resumo do Módulo 2 - Encargos e Benefícios anuais, mensais e diários</t>
  </si>
  <si>
    <t>Encargos e Benefícios Anuais, Mensais e Diários</t>
  </si>
  <si>
    <t>13º SALÁRIO, FÉRIAS E ADICIONAL DE FÉRIAS</t>
  </si>
  <si>
    <t>GPS, FGTS E OUTRAS</t>
  </si>
  <si>
    <t>2.3</t>
  </si>
  <si>
    <t>BENEFICIOS MENSAIS E DIÁRIOS</t>
  </si>
  <si>
    <t>TOTAL</t>
  </si>
  <si>
    <t>Módulo 3 - Provisão para Rescisão</t>
  </si>
  <si>
    <t xml:space="preserve">Incidência do FGTS sobre aviso prévio indenizado </t>
  </si>
  <si>
    <t>Multa do FGTS sobre do aviso prévio indenizado    =  2% x Remuneração</t>
  </si>
  <si>
    <t xml:space="preserve">Aviso prévio trabalhado     </t>
  </si>
  <si>
    <t>Incidência de GPS, FGTS e outras contribuições sobre o Aviso Prévio Trabalhado</t>
  </si>
  <si>
    <t xml:space="preserve">Multa do FGTS do aviso prévio trabalhado </t>
  </si>
  <si>
    <t>Nota 1: Devido a  extinção da  contribuição Social de 10% sobre os depósitos de FGTS que foi extinta a parti de 01/01/2020, conforme art. 12 da Lei 13.932/2019,   a  soma dos percentuais dos itens "C" e "F" do Modulo 3 , que se referem à multa do FGTS sobre aviso prévio indenizado e trabalhado , deve totalizar no máximo 4% sobre a remuneração, o que corresponde ao percentual que será recolhido na conta vinculada.</t>
  </si>
  <si>
    <t>Módulo 4 - Custo de Reposição do Profissional Ausente</t>
  </si>
  <si>
    <t>Nota 1: Os itens que contemplam o módulo 4 se referem ao custo dos dias trabalhados pelo repositor/substituto, quando o empregado alocado na prestação de serviço estiver ausente, conforme as previsões estabelecidas na legislação.</t>
  </si>
  <si>
    <t>Submódulo 4.1 - Substituto nas Ausências Legais</t>
  </si>
  <si>
    <t xml:space="preserve">Submódulo 4.2 - Substituto na Intrajornada </t>
  </si>
  <si>
    <t>4.2</t>
  </si>
  <si>
    <t>SUBMÓDULO 4.2 - Intrajornada</t>
  </si>
  <si>
    <t>Quadro-Resumo do Módulo 4 - Custo de Reposição do Profissional Ausente</t>
  </si>
  <si>
    <t>CUSTO DE REPOSIÇÃO DO PROFISSIONAL AUSENTE</t>
  </si>
  <si>
    <t>AUSENCIAS LEGAIS</t>
  </si>
  <si>
    <t>INTRAJORNADA</t>
  </si>
  <si>
    <t>Módulo 5 - Insumos Diversos</t>
  </si>
  <si>
    <t>MÓDULO 5 - INSUMOS DIVERSOS</t>
  </si>
  <si>
    <t>Uniformes</t>
  </si>
  <si>
    <t>Materiais</t>
  </si>
  <si>
    <t>Equipamentos</t>
  </si>
  <si>
    <t>Outros (especificar)</t>
  </si>
  <si>
    <t>Nota: Valores mensais por empregado.</t>
  </si>
  <si>
    <t xml:space="preserve">6 - CUSTOS INDIRETOS, TRIBUTOS E LUCRO </t>
  </si>
  <si>
    <t>Percentual (%)</t>
  </si>
  <si>
    <t>Tributos</t>
  </si>
  <si>
    <t>C.1. Tributos Federais (especificar)</t>
  </si>
  <si>
    <t>a) Cofins</t>
  </si>
  <si>
    <t>b) PIS</t>
  </si>
  <si>
    <t>C.2. Tributos Estaduais (especificar)</t>
  </si>
  <si>
    <t>C.3. Tributos Municipais (especificar)</t>
  </si>
  <si>
    <t>a) ISS</t>
  </si>
  <si>
    <t>Nota 1: Custos Indiretos, Tributos e Lucro por empregado.</t>
  </si>
  <si>
    <t>Nota 2: O valor referente a tributos é obtido aplicando-se o percentual sobre o valor do faturamento.</t>
  </si>
  <si>
    <t>2. QUADRO-RESUMO DO CUSTO POR EMPREGADO</t>
  </si>
  <si>
    <t>Módulo 1 - Composição da Remuneração</t>
  </si>
  <si>
    <t xml:space="preserve">	Módulo 5 - Insumos Diversos</t>
  </si>
  <si>
    <t>subtotal (A+B+C+D+E)</t>
  </si>
  <si>
    <t>MÓDULO 6 -Tributo + Custos Indiretos + Lucro</t>
  </si>
  <si>
    <t>VALOR TOTAL POR EMPREGADO</t>
  </si>
  <si>
    <t>3. QUADRO-RESUMO DO VALOR MENSAL DOS SERVIÇOS</t>
  </si>
  <si>
    <t>Tipo de Serviço</t>
  </si>
  <si>
    <t>Valor Proposto por Empregado</t>
  </si>
  <si>
    <t>Qtde. de Empregados por Posto</t>
  </si>
  <si>
    <t>Valor Proposto por Posto</t>
  </si>
  <si>
    <r>
      <t>Qtde.</t>
    </r>
    <r>
      <rPr>
        <sz val="11"/>
        <color rgb="FF000000"/>
        <rFont val="Arial"/>
        <family val="2"/>
      </rPr>
      <t> </t>
    </r>
    <r>
      <rPr>
        <b/>
        <sz val="11"/>
        <color rgb="FF000000"/>
        <rFont val="Arial"/>
        <family val="2"/>
      </rPr>
      <t>de Postos</t>
    </r>
  </si>
  <si>
    <t>Valor Total do Serviço</t>
  </si>
  <si>
    <t>(A)</t>
  </si>
  <si>
    <t>(B)</t>
  </si>
  <si>
    <t>(C)</t>
  </si>
  <si>
    <t>(D) = (B x C)</t>
  </si>
  <si>
    <t>(E)</t>
  </si>
  <si>
    <t>(F) = (D x E)</t>
  </si>
  <si>
    <t>I</t>
  </si>
  <si>
    <t xml:space="preserve">Vigilância Armada  - 12 (doze) horas noturnas, de segunda-feira a domingo, envolvendo 2 (dois) vigilantes em turnos de 12 (doze) por 36 (trinta e seis) horas.
</t>
  </si>
  <si>
    <t>Seguro de vida</t>
  </si>
  <si>
    <t>provisão para rescisão</t>
  </si>
  <si>
    <t xml:space="preserve">uniforme </t>
  </si>
  <si>
    <t>Descrição</t>
  </si>
  <si>
    <t>Salário</t>
  </si>
  <si>
    <t xml:space="preserve"> Encargos Previdenciários (GPS), Fundo de Garantia por Tempo de Serviço (FGTS) e outras contribuições.</t>
  </si>
  <si>
    <t>Seguro de Vida</t>
  </si>
  <si>
    <t>Provisão para Rescisção</t>
  </si>
  <si>
    <t>II</t>
  </si>
  <si>
    <t>VALOR GLOBAL DOS SERVIÇOS</t>
  </si>
  <si>
    <t>VALOR (R$)</t>
  </si>
  <si>
    <t>Valor por posto Noturno</t>
  </si>
  <si>
    <t>Valor  por posto Noturno</t>
  </si>
  <si>
    <t>Valor global da proposta   (Valor mensal do serviço multiplicado pelo número de meses do contrato).</t>
  </si>
  <si>
    <t xml:space="preserve">Propostas </t>
  </si>
  <si>
    <t>Observações</t>
  </si>
  <si>
    <t>Apesar de na planilha da NORSEG o feriado devido o dia do vigilânte esta R$ 8,01 ajustamos para R$ 16,56, esse é o valor mensal calculado.</t>
  </si>
  <si>
    <t>No modulo 2.1 -  A empresa Norseg não cotou o valor das férias, porém utilizamo o percentual constante na IN 05/2017</t>
  </si>
  <si>
    <t>O item uniforme foi readequado para o termo de referencia da SUDAM, pois Tinha itens a mais do que o TR da SUDAM</t>
  </si>
  <si>
    <t>A Empresa Apresentou todos os itens da planilha já multiplicado para os dois vigilantes</t>
  </si>
  <si>
    <t>A C &amp; S não cotou as Férias(1/2) no Submodulo 2.1</t>
  </si>
  <si>
    <t>NO MODULO 3- A empresa aplicou erroneamente o munlta de FGTS sobre aviso prévio. Sendo que era para ser sobre a remuneração.</t>
  </si>
  <si>
    <t>No Submodulo 4.1 , a empresa não apresentou os percentuais e memoria de calculo</t>
  </si>
  <si>
    <t>No Modulo 5 , a empres lista motocicleta, como equipamentos. O que é desnecessário para SUDAM</t>
  </si>
  <si>
    <t>No modulo 1 - não cotou os 16,56 referente ao dia do vigilânte.</t>
  </si>
  <si>
    <t xml:space="preserve">Valor referente as férias do Substituto está inexequivel </t>
  </si>
  <si>
    <t>Custo de Reposição do Profissional residente  Nas Férias</t>
  </si>
  <si>
    <t xml:space="preserve">Supervisor de Vigilância Armada  - 12 (doze) horas diurnas, de segunda-feira a domingo, envolvendo 2 (dois) vigilantes em turnos de 12 x 36  horas.
</t>
  </si>
  <si>
    <t xml:space="preserve">
PROCESSO: 59004.000441/2021-57</t>
  </si>
  <si>
    <t>Dia do vigilante ( clausula 83 da CCT- remuneração em dobro) laborado das 7h às 19h = 12h diurnas x valor da hora no dia do vigilânte  /12meses do cntrato</t>
  </si>
  <si>
    <t>Substituto na cobertura de Intervalo para repouso ou alimentação = valor da  hora extra diurna x 15</t>
  </si>
  <si>
    <t>Adicional Noturno (clausula 15º da CCT2021)</t>
  </si>
  <si>
    <t xml:space="preserve">Hora Noturna Reduzida (Cláusula 13º da CCT 2021)- 8 horas por noite </t>
  </si>
  <si>
    <t>Dia do vigilante ( clausula 83 da CCT- remuneração em dobro) 13,47h x R$ 16,56 = R$223,06  /12meses do cntrato = R$ 16,56/2</t>
  </si>
  <si>
    <t>Vigilânte Diurno</t>
  </si>
  <si>
    <t>Vigilânte Noturno</t>
  </si>
  <si>
    <t xml:space="preserve">
PROCESSO:  59004.000441/2021-57</t>
  </si>
  <si>
    <t>Substituto na cobertura de Intervalo para repouso ou alimentação = valor da hora extra x 15</t>
  </si>
  <si>
    <t>Valor mensal do serviço ( 2 postos Diurnos + 2 posos norturnos)</t>
  </si>
  <si>
    <t>Valor Mensal</t>
  </si>
  <si>
    <t>Valor Global</t>
  </si>
  <si>
    <t>(G) =F x12</t>
  </si>
  <si>
    <t xml:space="preserve"> JORIMA SEGURANCA PRIVADA LTDA ; Pregão Eletrônico Nº 12021 ;  
UASG 170219 - DELEGACIA DA REC.FEDERAL EM SANTAREM/PA ; ITEM 02; Data de homologação:  16/03/2021</t>
  </si>
  <si>
    <t xml:space="preserve"> JORIMA SEGURANCA PRIVADA LTDA ; Pregão Eletrônico Nº 12021 ;  
UASG 170219 - DELEGACIA DA REC.FEDERAL EM SANTAREM/PA ; ITEM 03; Data de homologação:  16/03/2021</t>
  </si>
  <si>
    <r>
      <t xml:space="preserve">POLO SEGURANCA ESPECIALIZADA EIRELI;  	
Pregão Eletrônico Nº 22021 -  
UASG 495300 - COMPANHIA DE PESQUISA DE RECURSOS MINERAIS; ITEM  02;   </t>
    </r>
    <r>
      <rPr>
        <sz val="11"/>
        <rFont val="Calibri"/>
        <family val="2"/>
      </rPr>
      <t>H</t>
    </r>
    <r>
      <rPr>
        <b/>
        <sz val="11"/>
        <rFont val="Calibri"/>
        <family val="2"/>
      </rPr>
      <t>omologação : 19/03/2021</t>
    </r>
  </si>
  <si>
    <r>
      <t xml:space="preserve">POLO SEGURANCA ESPECIALIZADA EIRELI;  	
Pregão Eletrônico Nº 22021 -  
UASG 495300 - COMPANHIA DE PESQUISA DE RECURSOS MINERAIS; ITEM  01;   </t>
    </r>
    <r>
      <rPr>
        <sz val="11"/>
        <rFont val="Calibri"/>
        <family val="2"/>
      </rPr>
      <t>H</t>
    </r>
    <r>
      <rPr>
        <b/>
        <sz val="11"/>
        <rFont val="Calibri"/>
        <family val="2"/>
      </rPr>
      <t>omologação : 19/03/2021</t>
    </r>
  </si>
  <si>
    <t xml:space="preserve"> NORSEG VIGILANCIA E SEGURANCA EIRELI;  UASG 170217 - SUP.REGIONAL RECEITA FEDERAL 2A.RF/PA Pregão Eletrônico Nº 12021 ;  SRRFF02 12x36 Diurno.</t>
  </si>
  <si>
    <t xml:space="preserve"> NORSEG VIGILANCIA E SEGURANCA EIRELI;  UASG 170217 - SUP.REGIONAL RECEITA FEDERAL 2A.RF/PA Pregão Eletrônico Nº 12021 ;  SRRFF02 12x36 Noturno</t>
  </si>
  <si>
    <t>CANTÃO VIGILANCIA E SEGURANÇA LTDA, CNPJ nº.
14.966.650/0003-62, Data da proposta:  30/04/2021</t>
  </si>
  <si>
    <t xml:space="preserve">
PROCESSO: </t>
  </si>
  <si>
    <t>CCT 2022/2024- SINDIVIPA-SINDESP/PA - CBO 5173-30</t>
  </si>
  <si>
    <t>VALOR TOTAL POR POSTO (02 EMPREGADOS)</t>
  </si>
  <si>
    <t>MÓDULO 5 - Insumos Diversos</t>
  </si>
  <si>
    <t>MÓDULO 4 - Custo de Reposição do Profissional Ausente</t>
  </si>
  <si>
    <t>MÓDULO 3 - Provisão para Rescisão</t>
  </si>
  <si>
    <t>MÓDULO 2 - Encargos e Benefícios Anuais, Mensais e Diários</t>
  </si>
  <si>
    <t>MÓDULO 1 - Composição da Remuneração</t>
  </si>
  <si>
    <t>Valor</t>
  </si>
  <si>
    <t xml:space="preserve">2. QUADRO RESUMO </t>
  </si>
  <si>
    <t xml:space="preserve">Total </t>
  </si>
  <si>
    <t xml:space="preserve">LUCRO </t>
  </si>
  <si>
    <t>ISSQN</t>
  </si>
  <si>
    <t xml:space="preserve">B3. Tributos Municipais (especificar) </t>
  </si>
  <si>
    <t xml:space="preserve">B2. Tributos Estaduais (especificar) </t>
  </si>
  <si>
    <t>SIMPLES NACIONAL</t>
  </si>
  <si>
    <t>PIS - LUCRO REAL</t>
  </si>
  <si>
    <t>COFINS - LUCRO REAL</t>
  </si>
  <si>
    <t xml:space="preserve">B1. Tributos Federais (especificar) </t>
  </si>
  <si>
    <t xml:space="preserve">Tributos </t>
  </si>
  <si>
    <t>Custos Indiretos  (mobilização e materiais administrativos)</t>
  </si>
  <si>
    <t>Valor (R$)</t>
  </si>
  <si>
    <t xml:space="preserve">Custos Indiretos , Tributos e Lucro </t>
  </si>
  <si>
    <t>QUADRO RESUMO DO MODULO 4</t>
  </si>
  <si>
    <t xml:space="preserve">Subtotal </t>
  </si>
  <si>
    <t>Intervalo para Repouso ou Alimentação = R$ 15,09 x 15</t>
  </si>
  <si>
    <t>Incidencia do submodulo 2.2 sobre o custo de Reposição de Prof.Ausente</t>
  </si>
  <si>
    <t>Afastamento Maternidade</t>
  </si>
  <si>
    <t>Ausencia por acidente de Trabalho</t>
  </si>
  <si>
    <t>Ausencia por doença</t>
  </si>
  <si>
    <t xml:space="preserve">Licença paternidade </t>
  </si>
  <si>
    <t>Ausência Legais</t>
  </si>
  <si>
    <t xml:space="preserve">Férias </t>
  </si>
  <si>
    <t>MÓDULO 4 - Custo de Reposição do Profissional Ausente - AUSENCIAS LEGAIS</t>
  </si>
  <si>
    <t>Multa do FGTS do aviso prévio trabalhado (40%)</t>
  </si>
  <si>
    <t xml:space="preserve">Incidência do submódulo 2.2 sobre aviso prévio trabalhado </t>
  </si>
  <si>
    <t xml:space="preserve">Aviso prévio trabalhado </t>
  </si>
  <si>
    <t xml:space="preserve">Multa do FGTS e Cont.Social sobre do aviso prévio indenizado </t>
  </si>
  <si>
    <t xml:space="preserve">Aviso Prévio Indenizado </t>
  </si>
  <si>
    <t xml:space="preserve">MÓDULO 3 - Provisão para Rescisão </t>
  </si>
  <si>
    <t>2 ENCARGOS E BENEFICIOS ANUAIS, MENSAIS E DIÁRIOS</t>
  </si>
  <si>
    <t xml:space="preserve">QUADRO RESUMO DO MODULO 2 </t>
  </si>
  <si>
    <t>Combate a vigilância clandestina</t>
  </si>
  <si>
    <t>Dia do Vigilânte</t>
  </si>
  <si>
    <t xml:space="preserve">Auxilio Alimentação  </t>
  </si>
  <si>
    <t xml:space="preserve">Auxílio Transporte </t>
  </si>
  <si>
    <t xml:space="preserve">Valor (R$) </t>
  </si>
  <si>
    <t>2.3 BENEFÍCIOS MENSAIS E DIÁRIOS</t>
  </si>
  <si>
    <t>SEGURO ACIDENTE DO TRABALHO - RAT/FAP (3,00% x 1,00%)</t>
  </si>
  <si>
    <t xml:space="preserve">SESI ou SESC </t>
  </si>
  <si>
    <t>GPS, FGTS E OUTRAS CONTRIBUIÇÕES</t>
  </si>
  <si>
    <t>2.2  ENCARGOS PREVIDENCIÁRIOS, GPS, FGTS E OUTRAS</t>
  </si>
  <si>
    <t>Férias e Adicional de Férias</t>
  </si>
  <si>
    <t>13º Salário</t>
  </si>
  <si>
    <t>13º SALÁRIO , FÉRIAS E ADICIONAL DE FÉRIAS</t>
  </si>
  <si>
    <t>02.  ENCARGOS E BENEFÍCIOS ANUAIS,MENSAIS E DIÁRIOS</t>
  </si>
  <si>
    <t>Dsr sobre Feriado Noturno</t>
  </si>
  <si>
    <t>M</t>
  </si>
  <si>
    <t>Feriados Trabalhados noturnos</t>
  </si>
  <si>
    <t>l</t>
  </si>
  <si>
    <t>Dsr sobre Feriado Diurno</t>
  </si>
  <si>
    <t>L</t>
  </si>
  <si>
    <t>Feriados trabalhados diurnos</t>
  </si>
  <si>
    <t>K</t>
  </si>
  <si>
    <t>Adicional de Periculosidade</t>
  </si>
  <si>
    <t>J</t>
  </si>
  <si>
    <t>Dsr sobre Intrajornada noturna</t>
  </si>
  <si>
    <t>Intervalo Intrajornada Noturna</t>
  </si>
  <si>
    <t>Dsr sobre Intrajornada diurna</t>
  </si>
  <si>
    <t>Intervalo Intrajornada DIURNA</t>
  </si>
  <si>
    <t xml:space="preserve">Dsr de hora noturna reduzida </t>
  </si>
  <si>
    <t>Hora noturna reduzida</t>
  </si>
  <si>
    <t xml:space="preserve">Dsr sobre adicional noturno </t>
  </si>
  <si>
    <t>Adicional noturno</t>
  </si>
  <si>
    <t>Unitário</t>
  </si>
  <si>
    <t>Qtd</t>
  </si>
  <si>
    <t>Composição</t>
  </si>
  <si>
    <t xml:space="preserve">MÓDULO 01: COMPOSIÇÃO DA REMUNERAÇÃO </t>
  </si>
  <si>
    <t xml:space="preserve">Data base da categoria (dia/ mês/ano) </t>
  </si>
  <si>
    <t>VIGILANTE</t>
  </si>
  <si>
    <t>Categoria Profissional</t>
  </si>
  <si>
    <t>Dados complementares para composição dos custos referente a mão-de-obra</t>
  </si>
  <si>
    <t>ANEXO III</t>
  </si>
  <si>
    <t>Número de meses de execução contratual</t>
  </si>
  <si>
    <t>CCT 2023/2024- SINDIVIPA-SINDESP/PA - CBO 5173-30</t>
  </si>
  <si>
    <t>Ano Acordo,Convenção ou Setença Normativa em Dissidio Coletivo</t>
  </si>
  <si>
    <t>BELÉM/PA</t>
  </si>
  <si>
    <t>Municipio/UF</t>
  </si>
  <si>
    <t>Data Base</t>
  </si>
  <si>
    <t xml:space="preserve">A </t>
  </si>
  <si>
    <t>MÓDULO 1 - COMPOSIÇÃO DA REMUNERAÇÃO</t>
  </si>
  <si>
    <t>PREGÃO ELETRÔNICO :</t>
  </si>
  <si>
    <t>VIGILÂNCIA 12HS DIURNAS ININTERRUTAS NA ESCALA 12 X 36</t>
  </si>
  <si>
    <t>PLANILHA DE CUSTO E  FORMAÇÃO DE PREÇOS PARA A CONTRATAÇÃO DE VIGILÂNCIA                                                                                                                                                                                                                                              Data Base :01/01/2023</t>
  </si>
  <si>
    <t>Auxílio Transporte     (Clausula 21 CCT  )                                =(15*2*4)-(Salario base*50%*6%)</t>
  </si>
  <si>
    <t>Auxilio Alimentação    (Clausula 19 CCT)                               = (15*36)-1%*(15*36)</t>
  </si>
  <si>
    <t>Intervalo para Repouso ou Alimentação = 18,11*15</t>
  </si>
  <si>
    <t>CCT 2018 - SINDIVIPA-SINDESP/PA - CBO 5173-30</t>
  </si>
  <si>
    <t>Data de apresentação do pedido de repactução</t>
  </si>
  <si>
    <t>02/08/2018 - 09HS</t>
  </si>
  <si>
    <t xml:space="preserve">Dia: </t>
  </si>
  <si>
    <t>PREGÃO ELETRÔNICO : 7/2018</t>
  </si>
  <si>
    <t>VIGILÂNCIA 12HS NOTURNAS ININTERRUTAS NA ESCALA 12 X 36</t>
  </si>
  <si>
    <t>PLANILHA DE REPACTUÇÃO SAD                                                                                                                                                                                                                                                          Data Base :01/01/2022</t>
  </si>
  <si>
    <t xml:space="preserve">
PROCESSO:</t>
  </si>
  <si>
    <t xml:space="preserve">Vigilância Armada  - 12 (doze) horas noturnas, de segunda-feira a domingo, envolvendo 2 (dois) vigilantes em turnos de 12 x 36  horas.
</t>
  </si>
  <si>
    <t>Auxílio Transporte     (Clausula 20 CCT  )                            =(15*2*4)-(Salario base*50%*6%)</t>
  </si>
  <si>
    <t>Auxilio Alimentação    (Clausula 19 CCT)                            = (15*36)-1%*(15*36)</t>
  </si>
  <si>
    <t>Substituto na cobertura de Intervalo para repouso ou alimentação = R$ 18,11(valor da intrajornada) x 15</t>
  </si>
  <si>
    <t xml:space="preserve">Pesquisa de  custos de mão de obra  -  Vigilânte Noturno </t>
  </si>
  <si>
    <t>Empresa Brasileira de Serviços Hospitalares – EBSERH   
Complexo Hospitalar Universitário da UFPA/EBSERH   
REF.:  EDITAL - SEI Nº PREGÃO 80/2022 REPUBLICAÇÃO /2022 
(UASG 155909)</t>
  </si>
  <si>
    <t>Pesquisa de  custos de mão de obra  -  Vigilante Diurno</t>
  </si>
  <si>
    <t>13º Terceiro Salario, Férias e 1/3  de Férias</t>
  </si>
  <si>
    <t>capa de chuva</t>
  </si>
  <si>
    <t xml:space="preserve">UASG 925611 - UNIVERSIDADE ESTADUAL DO PARA;
Pregão Nº 00031/2022 ; Empresa : O S SERVICOS DE VIGILANCIA EIRELI; Data de   Homologação do Pregão Eletrônico:  14/12/2022 </t>
  </si>
  <si>
    <t>Empresa Brasileira de Serviços Hospitalares – EBSERH   
Complexo Hospitalar Universitário da UFPA/EBSERH   ; Empresa: POLO SEGURANCA
ESPECIALIZADA LTDA
 PREGÃO 80/2022 REPUBLICAÇÃO /2022 
(UASG 155909); Data de homologação: 11/01/2023</t>
  </si>
  <si>
    <t>Lanterna com pilhas ou  bateria recarregavel</t>
  </si>
  <si>
    <t>Auxílio Transporte     (Clausula 20 CCT  )                                =(15*2*4)-(Salario base*50%*6%)</t>
  </si>
  <si>
    <t>outros</t>
  </si>
  <si>
    <t>Substituto na cobertura de Intervalo para repouso ou alimentação =  valor da hora extra diurna x 15</t>
  </si>
  <si>
    <t>Nº Pregão: 122022 / UASG: 928228 / Nº Item: 2; SECRETARIA ESTRATEGICA DE ESTADO DE ARTICULAÇAO DA CIDADANIA; Adj/Hom:	20/10/2022 ; Empresa:	BELEM RIO SEGURANCA LTDA</t>
  </si>
  <si>
    <t>Supervisor Vigilânte Diurno</t>
  </si>
  <si>
    <t>Valor Anual</t>
  </si>
  <si>
    <t>MEDIANA</t>
  </si>
  <si>
    <t>Mediana</t>
  </si>
  <si>
    <t>Rateio da Chefia de Campo de Diurno (Valor da Chefia de Campo/40)</t>
  </si>
  <si>
    <t>Rateio da Chefia de Campo de Noturno(Valor da Chefia de Campo/40)</t>
  </si>
  <si>
    <t>Encarregado Diurno</t>
  </si>
  <si>
    <t>Encarregado Noturno</t>
  </si>
  <si>
    <t xml:space="preserve">Supervisor/encarregado/chefia de campo de vigilância - 12xr 36 Diurno
</t>
  </si>
  <si>
    <t xml:space="preserve">Supervisor/encarregado/chefia de campo de vigilância - 12xr 36 Noturno
</t>
  </si>
  <si>
    <t>A.1</t>
  </si>
  <si>
    <t>Custo de manutenção de depósito de conta Vinculada = R$ 155/10 (empregados)</t>
  </si>
  <si>
    <t>Arma de choque elétrico tipo Taser e Lançador de dardos energizados (não letal)</t>
  </si>
  <si>
    <t xml:space="preserve"> 	Nº Pregão: 312022 / UASG: 925611 / Nº Item: 1; Universidade Estadual do Pará; Empresa: O S SERVICOS DE VIGILANCIA EIRELI;  Homologação : 14/12/2022</t>
  </si>
  <si>
    <t>Valor Mensal 1</t>
  </si>
  <si>
    <t>Valor Mensal 2</t>
  </si>
  <si>
    <t>Valor Mensal 3</t>
  </si>
  <si>
    <t>Valor Mensal 4</t>
  </si>
  <si>
    <t>Nº Pregão: 72023 / UASG: 110794 / Nº Item: 3; MINISTÉRIO DA DEFESA UNIDADE GESTORA EXECUTORA DA OPERAÇÃO ACOLHIDA; EMPRESA: AMAZON SECURITY LTDA;  Homologaão: 05/05/2023</t>
  </si>
  <si>
    <t>PREGÃO: 11/2022;  UASG: 925801 - SECRETARIA DE ESTADO DE SEGURANÇA PÚBLICA; empresa: FRANCO GIAFFONE, Homologação: 27/01/2023.</t>
  </si>
  <si>
    <t>Valor Mensal 5</t>
  </si>
  <si>
    <t>Valor Mensal 6</t>
  </si>
  <si>
    <t>Quantidade anual para os 7(postos) Postos.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</si>
</sst>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&quot;R$ &quot;* #,##0.00_-;&quot;-R$ &quot;* #,##0.00_-;_-&quot;R$ &quot;* \-??_-;_-@_-"/>
    <numFmt numFmtId="166" formatCode="0.000%"/>
    <numFmt numFmtId="167" formatCode="00"/>
    <numFmt numFmtId="168" formatCode="0.0%"/>
    <numFmt numFmtId="169" formatCode="_-* #,##0.000_-;\-* #,##0.000_-;_-* &quot;-&quot;???_-;_-@_-"/>
    <numFmt numFmtId="170" formatCode="0.0000%"/>
    <numFmt numFmtId="171" formatCode="_-* #,##0.0000_-;\-* #,##0.0000_-;_-* &quot;-&quot;??_-;_-@_-"/>
  </numFmts>
  <fonts count="40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b/>
      <sz val="11"/>
      <name val="Calibri"/>
      <family val="2"/>
    </font>
    <font>
      <sz val="10"/>
      <name val="Calibri"/>
      <family val="2"/>
      <scheme val="minor"/>
    </font>
    <font>
      <sz val="11"/>
      <name val="Calibri"/>
      <family val="2"/>
    </font>
    <font>
      <sz val="10"/>
      <color indexed="8"/>
      <name val="Calibri"/>
      <family val="2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rgb="FF000000"/>
      <name val="Calibri"/>
      <family val="2"/>
    </font>
    <font>
      <sz val="12"/>
      <name val="Calibri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rgb="FF000000"/>
      <name val="Arial"/>
      <family val="2"/>
    </font>
    <font>
      <sz val="9"/>
      <name val="Calibri"/>
      <family val="2"/>
      <scheme val="minor"/>
    </font>
    <font>
      <sz val="9"/>
      <name val="Calibri"/>
      <family val="2"/>
    </font>
    <font>
      <b/>
      <sz val="9"/>
      <name val="Calibri"/>
      <family val="2"/>
    </font>
    <font>
      <sz val="9"/>
      <color indexed="8"/>
      <name val="Calibri"/>
      <family val="2"/>
    </font>
    <font>
      <sz val="11"/>
      <color theme="1"/>
      <name val="Calibri"/>
      <family val="2"/>
    </font>
    <font>
      <b/>
      <sz val="10"/>
      <color rgb="FFFF0000"/>
      <name val="Calibri"/>
      <family val="2"/>
      <scheme val="minor"/>
    </font>
    <font>
      <sz val="11"/>
      <color rgb="FFFF0000"/>
      <name val="Calibri"/>
      <family val="2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/>
      <right style="double">
        <color indexed="8"/>
      </right>
      <top style="double">
        <color indexed="64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8"/>
      </bottom>
      <diagonal/>
    </border>
    <border>
      <left style="double">
        <color indexed="8"/>
      </left>
      <right/>
      <top style="double">
        <color indexed="64"/>
      </top>
      <bottom style="double">
        <color indexed="8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165" fontId="2" fillId="0" borderId="0" applyFill="0" applyBorder="0" applyAlignment="0" applyProtection="0"/>
    <xf numFmtId="0" fontId="4" fillId="0" borderId="0"/>
    <xf numFmtId="164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9" fontId="1" fillId="0" borderId="0" applyFont="0" applyFill="0" applyBorder="0" applyAlignment="0" applyProtection="0"/>
    <xf numFmtId="165" fontId="2" fillId="0" borderId="0" applyFill="0" applyBorder="0" applyAlignment="0" applyProtection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80">
    <xf numFmtId="0" fontId="0" fillId="0" borderId="0" xfId="0"/>
    <xf numFmtId="0" fontId="0" fillId="0" borderId="0" xfId="0" applyAlignment="1">
      <alignment horizontal="center"/>
    </xf>
    <xf numFmtId="0" fontId="5" fillId="0" borderId="1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/>
    </xf>
    <xf numFmtId="164" fontId="5" fillId="0" borderId="3" xfId="3" applyFont="1" applyFill="1" applyBorder="1" applyAlignment="1" applyProtection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/>
    </xf>
    <xf numFmtId="10" fontId="7" fillId="0" borderId="3" xfId="4" applyNumberFormat="1" applyFont="1" applyFill="1" applyBorder="1" applyAlignment="1" applyProtection="1">
      <alignment horizontal="center" vertical="center"/>
    </xf>
    <xf numFmtId="10" fontId="8" fillId="0" borderId="3" xfId="4" applyNumberFormat="1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>
      <alignment horizontal="center"/>
    </xf>
    <xf numFmtId="165" fontId="7" fillId="0" borderId="3" xfId="3" applyNumberFormat="1" applyFont="1" applyFill="1" applyBorder="1" applyAlignment="1" applyProtection="1">
      <alignment vertical="center"/>
    </xf>
    <xf numFmtId="165" fontId="8" fillId="0" borderId="3" xfId="1" applyFont="1" applyFill="1" applyBorder="1"/>
    <xf numFmtId="0" fontId="8" fillId="0" borderId="3" xfId="0" applyFont="1" applyFill="1" applyBorder="1"/>
    <xf numFmtId="0" fontId="3" fillId="0" borderId="0" xfId="0" applyFont="1"/>
    <xf numFmtId="10" fontId="5" fillId="0" borderId="3" xfId="2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Fill="1"/>
    <xf numFmtId="0" fontId="9" fillId="0" borderId="0" xfId="0" applyFont="1"/>
    <xf numFmtId="0" fontId="0" fillId="0" borderId="0" xfId="0" applyFill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0" fillId="0" borderId="7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2" fillId="0" borderId="9" xfId="0" applyFont="1" applyBorder="1" applyAlignment="1">
      <alignment horizontal="justify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165" fontId="8" fillId="0" borderId="8" xfId="1" applyFont="1" applyBorder="1"/>
    <xf numFmtId="165" fontId="8" fillId="0" borderId="3" xfId="1" applyFont="1" applyBorder="1"/>
    <xf numFmtId="0" fontId="13" fillId="0" borderId="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justify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165" fontId="8" fillId="0" borderId="13" xfId="1" applyFont="1" applyBorder="1"/>
    <xf numFmtId="165" fontId="6" fillId="0" borderId="3" xfId="0" applyNumberFormat="1" applyFont="1" applyBorder="1"/>
    <xf numFmtId="0" fontId="6" fillId="0" borderId="3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165" fontId="8" fillId="0" borderId="3" xfId="1" applyFont="1" applyBorder="1" applyAlignment="1">
      <alignment horizontal="center" vertical="center" wrapText="1"/>
    </xf>
    <xf numFmtId="165" fontId="8" fillId="0" borderId="3" xfId="1" applyFont="1" applyBorder="1" applyAlignment="1">
      <alignment vertical="center"/>
    </xf>
    <xf numFmtId="165" fontId="6" fillId="0" borderId="3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7" fillId="0" borderId="4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left" vertical="center"/>
    </xf>
    <xf numFmtId="0" fontId="5" fillId="0" borderId="4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43" fontId="0" fillId="0" borderId="0" xfId="0" applyNumberFormat="1"/>
    <xf numFmtId="0" fontId="7" fillId="0" borderId="17" xfId="2" applyFont="1" applyFill="1" applyBorder="1" applyAlignment="1">
      <alignment vertical="center"/>
    </xf>
    <xf numFmtId="0" fontId="7" fillId="0" borderId="14" xfId="2" applyFont="1" applyFill="1" applyBorder="1" applyAlignment="1">
      <alignment vertical="center"/>
    </xf>
    <xf numFmtId="0" fontId="7" fillId="0" borderId="3" xfId="2" applyFont="1" applyFill="1" applyBorder="1" applyAlignment="1">
      <alignment vertical="center"/>
    </xf>
    <xf numFmtId="0" fontId="0" fillId="0" borderId="3" xfId="0" applyBorder="1" applyAlignment="1">
      <alignment horizontal="center"/>
    </xf>
    <xf numFmtId="165" fontId="5" fillId="0" borderId="4" xfId="3" applyNumberFormat="1" applyFont="1" applyFill="1" applyBorder="1" applyAlignment="1" applyProtection="1">
      <alignment horizontal="center" vertical="center"/>
    </xf>
    <xf numFmtId="0" fontId="7" fillId="0" borderId="13" xfId="2" applyFont="1" applyFill="1" applyBorder="1" applyAlignment="1">
      <alignment horizontal="center" vertical="center"/>
    </xf>
    <xf numFmtId="165" fontId="5" fillId="0" borderId="17" xfId="3" applyNumberFormat="1" applyFont="1" applyFill="1" applyBorder="1" applyAlignment="1" applyProtection="1">
      <alignment horizontal="left" vertical="center"/>
    </xf>
    <xf numFmtId="0" fontId="14" fillId="0" borderId="13" xfId="2" applyFont="1" applyFill="1" applyBorder="1" applyAlignment="1">
      <alignment horizontal="center" vertical="center"/>
    </xf>
    <xf numFmtId="165" fontId="16" fillId="0" borderId="17" xfId="3" applyNumberFormat="1" applyFont="1" applyFill="1" applyBorder="1" applyAlignment="1" applyProtection="1">
      <alignment horizontal="center" vertical="center"/>
    </xf>
    <xf numFmtId="0" fontId="5" fillId="5" borderId="4" xfId="2" applyFont="1" applyFill="1" applyBorder="1" applyAlignment="1">
      <alignment vertical="center"/>
    </xf>
    <xf numFmtId="0" fontId="5" fillId="5" borderId="15" xfId="2" applyFont="1" applyFill="1" applyBorder="1" applyAlignment="1">
      <alignment vertical="center"/>
    </xf>
    <xf numFmtId="10" fontId="7" fillId="0" borderId="3" xfId="2" applyNumberFormat="1" applyFont="1" applyFill="1" applyBorder="1" applyAlignment="1">
      <alignment vertical="center"/>
    </xf>
    <xf numFmtId="165" fontId="2" fillId="0" borderId="3" xfId="1" applyFill="1" applyBorder="1" applyAlignment="1" applyProtection="1">
      <alignment vertical="center"/>
    </xf>
    <xf numFmtId="10" fontId="5" fillId="0" borderId="3" xfId="2" applyNumberFormat="1" applyFont="1" applyFill="1" applyBorder="1" applyAlignment="1">
      <alignment vertical="center"/>
    </xf>
    <xf numFmtId="165" fontId="5" fillId="0" borderId="3" xfId="3" applyNumberFormat="1" applyFont="1" applyFill="1" applyBorder="1" applyAlignment="1" applyProtection="1">
      <alignment vertical="center"/>
    </xf>
    <xf numFmtId="165" fontId="7" fillId="0" borderId="4" xfId="3" applyNumberFormat="1" applyFont="1" applyFill="1" applyBorder="1" applyAlignment="1" applyProtection="1">
      <alignment horizontal="left" vertical="center"/>
    </xf>
    <xf numFmtId="10" fontId="5" fillId="0" borderId="3" xfId="4" applyNumberFormat="1" applyFont="1" applyFill="1" applyBorder="1" applyAlignment="1" applyProtection="1">
      <alignment horizontal="center" vertical="center"/>
    </xf>
    <xf numFmtId="165" fontId="5" fillId="0" borderId="4" xfId="3" applyNumberFormat="1" applyFont="1" applyFill="1" applyBorder="1" applyAlignment="1" applyProtection="1">
      <alignment horizontal="left" vertical="center"/>
    </xf>
    <xf numFmtId="0" fontId="5" fillId="0" borderId="4" xfId="2" applyFont="1" applyFill="1" applyBorder="1" applyAlignment="1">
      <alignment vertical="center"/>
    </xf>
    <xf numFmtId="165" fontId="17" fillId="0" borderId="4" xfId="3" applyNumberFormat="1" applyFont="1" applyFill="1" applyBorder="1" applyAlignment="1" applyProtection="1">
      <alignment vertical="center"/>
    </xf>
    <xf numFmtId="165" fontId="7" fillId="0" borderId="4" xfId="3" applyNumberFormat="1" applyFont="1" applyFill="1" applyBorder="1" applyAlignment="1" applyProtection="1">
      <alignment vertical="center"/>
    </xf>
    <xf numFmtId="165" fontId="5" fillId="0" borderId="4" xfId="3" applyNumberFormat="1" applyFont="1" applyFill="1" applyBorder="1" applyAlignment="1" applyProtection="1">
      <alignment vertical="center"/>
    </xf>
    <xf numFmtId="165" fontId="9" fillId="0" borderId="3" xfId="1" applyFont="1" applyFill="1" applyBorder="1" applyAlignment="1" applyProtection="1">
      <alignment vertical="center"/>
    </xf>
    <xf numFmtId="0" fontId="5" fillId="5" borderId="3" xfId="2" applyFont="1" applyFill="1" applyBorder="1" applyAlignment="1">
      <alignment vertical="center"/>
    </xf>
    <xf numFmtId="165" fontId="3" fillId="5" borderId="3" xfId="1" applyFont="1" applyFill="1" applyBorder="1" applyAlignment="1" applyProtection="1">
      <alignment vertical="center"/>
    </xf>
    <xf numFmtId="10" fontId="2" fillId="0" borderId="0" xfId="4" applyNumberFormat="1" applyAlignment="1">
      <alignment horizontal="center"/>
    </xf>
    <xf numFmtId="165" fontId="7" fillId="0" borderId="4" xfId="3" applyNumberFormat="1" applyFont="1" applyFill="1" applyBorder="1" applyAlignment="1" applyProtection="1">
      <alignment horizontal="center" vertical="center"/>
    </xf>
    <xf numFmtId="0" fontId="18" fillId="0" borderId="3" xfId="2" applyFont="1" applyFill="1" applyBorder="1" applyAlignment="1">
      <alignment horizontal="center" vertical="center"/>
    </xf>
    <xf numFmtId="10" fontId="18" fillId="0" borderId="3" xfId="4" applyNumberFormat="1" applyFont="1" applyFill="1" applyBorder="1" applyAlignment="1" applyProtection="1">
      <alignment horizontal="center" vertical="center"/>
    </xf>
    <xf numFmtId="165" fontId="18" fillId="0" borderId="4" xfId="3" applyNumberFormat="1" applyFont="1" applyFill="1" applyBorder="1" applyAlignment="1" applyProtection="1">
      <alignment horizontal="center" vertical="center"/>
    </xf>
    <xf numFmtId="166" fontId="7" fillId="0" borderId="3" xfId="4" applyNumberFormat="1" applyFont="1" applyFill="1" applyBorder="1" applyAlignment="1" applyProtection="1">
      <alignment horizontal="center" vertical="center"/>
    </xf>
    <xf numFmtId="0" fontId="5" fillId="0" borderId="3" xfId="2" applyFont="1" applyFill="1" applyBorder="1" applyAlignment="1">
      <alignment vertical="center"/>
    </xf>
    <xf numFmtId="10" fontId="2" fillId="0" borderId="3" xfId="4" applyNumberFormat="1" applyFill="1" applyBorder="1" applyAlignment="1" applyProtection="1">
      <alignment horizontal="center" vertical="center"/>
    </xf>
    <xf numFmtId="0" fontId="5" fillId="0" borderId="3" xfId="2" applyFont="1" applyFill="1" applyBorder="1" applyAlignment="1">
      <alignment horizontal="left" vertical="center"/>
    </xf>
    <xf numFmtId="10" fontId="7" fillId="0" borderId="3" xfId="4" applyNumberFormat="1" applyFont="1" applyFill="1" applyBorder="1" applyAlignment="1" applyProtection="1">
      <alignment vertical="center"/>
    </xf>
    <xf numFmtId="165" fontId="5" fillId="5" borderId="4" xfId="3" applyNumberFormat="1" applyFont="1" applyFill="1" applyBorder="1" applyAlignment="1" applyProtection="1">
      <alignment horizontal="center" vertical="center"/>
    </xf>
    <xf numFmtId="164" fontId="5" fillId="0" borderId="3" xfId="3" applyFont="1" applyFill="1" applyBorder="1" applyAlignment="1" applyProtection="1">
      <alignment horizontal="left" vertical="center"/>
    </xf>
    <xf numFmtId="164" fontId="7" fillId="0" borderId="3" xfId="3" applyFont="1" applyFill="1" applyBorder="1" applyAlignment="1" applyProtection="1">
      <alignment horizontal="left" vertical="center"/>
    </xf>
    <xf numFmtId="165" fontId="9" fillId="0" borderId="4" xfId="4" applyNumberFormat="1" applyFont="1" applyFill="1" applyBorder="1" applyAlignment="1" applyProtection="1">
      <alignment vertical="center"/>
    </xf>
    <xf numFmtId="165" fontId="3" fillId="0" borderId="17" xfId="1" applyFont="1" applyFill="1" applyBorder="1" applyAlignment="1" applyProtection="1">
      <alignment vertical="center"/>
    </xf>
    <xf numFmtId="0" fontId="7" fillId="0" borderId="3" xfId="2" applyFont="1" applyFill="1" applyBorder="1" applyAlignment="1">
      <alignment vertical="center"/>
    </xf>
    <xf numFmtId="9" fontId="0" fillId="0" borderId="3" xfId="0" applyNumberFormat="1" applyBorder="1" applyAlignment="1">
      <alignment horizontal="center"/>
    </xf>
    <xf numFmtId="165" fontId="7" fillId="0" borderId="4" xfId="2" applyNumberFormat="1" applyFont="1" applyFill="1" applyBorder="1" applyAlignment="1">
      <alignment horizontal="center" vertical="center"/>
    </xf>
    <xf numFmtId="10" fontId="3" fillId="0" borderId="4" xfId="4" applyNumberFormat="1" applyFont="1" applyFill="1" applyBorder="1" applyAlignment="1" applyProtection="1">
      <alignment horizontal="center" vertical="center"/>
    </xf>
    <xf numFmtId="0" fontId="5" fillId="0" borderId="3" xfId="2" applyFont="1" applyFill="1" applyBorder="1" applyAlignment="1">
      <alignment vertical="center"/>
    </xf>
    <xf numFmtId="165" fontId="5" fillId="0" borderId="4" xfId="2" applyNumberFormat="1" applyFont="1" applyFill="1" applyBorder="1" applyAlignment="1">
      <alignment horizontal="center" vertical="center"/>
    </xf>
    <xf numFmtId="9" fontId="3" fillId="0" borderId="4" xfId="4" applyFont="1" applyFill="1" applyBorder="1" applyAlignment="1">
      <alignment horizontal="center" vertical="center"/>
    </xf>
    <xf numFmtId="165" fontId="3" fillId="4" borderId="4" xfId="1" applyFont="1" applyFill="1" applyBorder="1" applyAlignment="1" applyProtection="1">
      <alignment vertical="center"/>
    </xf>
    <xf numFmtId="0" fontId="19" fillId="7" borderId="3" xfId="0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43" fontId="20" fillId="7" borderId="3" xfId="0" applyNumberFormat="1" applyFont="1" applyFill="1" applyBorder="1" applyAlignment="1">
      <alignment horizontal="left" vertical="center" wrapText="1"/>
    </xf>
    <xf numFmtId="0" fontId="7" fillId="0" borderId="15" xfId="2" applyFont="1" applyFill="1" applyBorder="1" applyAlignment="1">
      <alignment horizontal="left" vertical="center"/>
    </xf>
    <xf numFmtId="165" fontId="2" fillId="0" borderId="15" xfId="1" applyFill="1" applyBorder="1" applyAlignment="1">
      <alignment horizontal="center" vertical="center"/>
    </xf>
    <xf numFmtId="165" fontId="2" fillId="0" borderId="16" xfId="1" applyFill="1" applyBorder="1" applyAlignment="1">
      <alignment horizontal="center" vertical="center"/>
    </xf>
    <xf numFmtId="165" fontId="5" fillId="0" borderId="17" xfId="3" applyNumberFormat="1" applyFont="1" applyFill="1" applyBorder="1" applyAlignment="1" applyProtection="1">
      <alignment horizontal="center" vertical="center"/>
    </xf>
    <xf numFmtId="2" fontId="0" fillId="0" borderId="0" xfId="0" applyNumberFormat="1"/>
    <xf numFmtId="165" fontId="2" fillId="0" borderId="4" xfId="1" applyFill="1" applyBorder="1" applyAlignment="1" applyProtection="1">
      <alignment vertical="center"/>
    </xf>
    <xf numFmtId="0" fontId="0" fillId="0" borderId="0" xfId="0" applyAlignment="1">
      <alignment wrapText="1"/>
    </xf>
    <xf numFmtId="165" fontId="2" fillId="0" borderId="0" xfId="1" applyAlignment="1">
      <alignment wrapText="1"/>
    </xf>
    <xf numFmtId="165" fontId="2" fillId="0" borderId="0" xfId="1"/>
    <xf numFmtId="165" fontId="0" fillId="0" borderId="0" xfId="0" applyNumberFormat="1"/>
    <xf numFmtId="10" fontId="2" fillId="0" borderId="0" xfId="4" applyNumberFormat="1"/>
    <xf numFmtId="165" fontId="2" fillId="0" borderId="3" xfId="1" applyBorder="1"/>
    <xf numFmtId="165" fontId="3" fillId="0" borderId="3" xfId="0" applyNumberFormat="1" applyFont="1" applyBorder="1"/>
    <xf numFmtId="0" fontId="19" fillId="7" borderId="3" xfId="0" applyFont="1" applyFill="1" applyBorder="1" applyAlignment="1">
      <alignment horizontal="left" vertical="center" wrapText="1"/>
    </xf>
    <xf numFmtId="0" fontId="23" fillId="7" borderId="3" xfId="0" applyFont="1" applyFill="1" applyBorder="1" applyAlignment="1">
      <alignment horizontal="center" vertical="top" wrapText="1"/>
    </xf>
    <xf numFmtId="0" fontId="23" fillId="7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0" fillId="7" borderId="3" xfId="0" applyFont="1" applyFill="1" applyBorder="1" applyAlignment="1">
      <alignment vertical="center" wrapText="1"/>
    </xf>
    <xf numFmtId="165" fontId="3" fillId="7" borderId="3" xfId="1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wrapText="1"/>
    </xf>
    <xf numFmtId="10" fontId="0" fillId="0" borderId="0" xfId="5" applyNumberFormat="1" applyFont="1"/>
    <xf numFmtId="165" fontId="2" fillId="0" borderId="4" xfId="1" applyFill="1" applyBorder="1" applyAlignment="1" applyProtection="1">
      <alignment horizontal="center" vertical="center"/>
    </xf>
    <xf numFmtId="165" fontId="2" fillId="0" borderId="4" xfId="1" applyFill="1" applyBorder="1" applyAlignment="1" applyProtection="1">
      <alignment horizontal="left" vertical="center"/>
    </xf>
    <xf numFmtId="4" fontId="0" fillId="0" borderId="0" xfId="0" applyNumberFormat="1"/>
    <xf numFmtId="0" fontId="7" fillId="0" borderId="3" xfId="2" applyFont="1" applyFill="1" applyBorder="1" applyAlignment="1">
      <alignment horizontal="left" vertical="center"/>
    </xf>
    <xf numFmtId="43" fontId="20" fillId="7" borderId="3" xfId="0" applyNumberFormat="1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0" fontId="19" fillId="7" borderId="3" xfId="0" applyFont="1" applyFill="1" applyBorder="1" applyAlignment="1">
      <alignment horizontal="left" vertical="center" wrapText="1"/>
    </xf>
    <xf numFmtId="165" fontId="18" fillId="0" borderId="4" xfId="3" applyNumberFormat="1" applyFont="1" applyFill="1" applyBorder="1" applyAlignment="1" applyProtection="1">
      <alignment vertical="center"/>
    </xf>
    <xf numFmtId="165" fontId="3" fillId="0" borderId="3" xfId="1" applyFont="1" applyBorder="1" applyAlignment="1">
      <alignment horizontal="center" vertical="center"/>
    </xf>
    <xf numFmtId="165" fontId="3" fillId="0" borderId="3" xfId="1" applyFont="1" applyBorder="1" applyAlignment="1">
      <alignment vertical="center"/>
    </xf>
    <xf numFmtId="8" fontId="8" fillId="0" borderId="3" xfId="0" applyNumberFormat="1" applyFont="1" applyFill="1" applyBorder="1"/>
    <xf numFmtId="165" fontId="2" fillId="0" borderId="3" xfId="1" applyFill="1" applyBorder="1"/>
    <xf numFmtId="0" fontId="0" fillId="0" borderId="3" xfId="0" applyBorder="1"/>
    <xf numFmtId="0" fontId="3" fillId="0" borderId="0" xfId="0" applyFont="1" applyFill="1" applyAlignment="1">
      <alignment horizontal="center" vertical="center" wrapText="1"/>
    </xf>
    <xf numFmtId="43" fontId="0" fillId="0" borderId="0" xfId="0" applyNumberFormat="1" applyFill="1"/>
    <xf numFmtId="165" fontId="2" fillId="0" borderId="3" xfId="1" applyBorder="1" applyAlignment="1">
      <alignment horizontal="center" vertical="center" wrapText="1"/>
    </xf>
    <xf numFmtId="0" fontId="7" fillId="0" borderId="3" xfId="2" applyFont="1" applyFill="1" applyBorder="1" applyAlignment="1">
      <alignment horizontal="left" vertical="center"/>
    </xf>
    <xf numFmtId="0" fontId="5" fillId="0" borderId="3" xfId="2" applyFont="1" applyFill="1" applyBorder="1" applyAlignment="1">
      <alignment horizontal="left" vertical="center"/>
    </xf>
    <xf numFmtId="0" fontId="12" fillId="0" borderId="3" xfId="0" applyFont="1" applyBorder="1" applyAlignment="1">
      <alignment horizontal="left" vertical="center" wrapText="1"/>
    </xf>
    <xf numFmtId="0" fontId="7" fillId="0" borderId="4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center" vertical="center"/>
    </xf>
    <xf numFmtId="43" fontId="20" fillId="7" borderId="3" xfId="0" applyNumberFormat="1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0" fontId="24" fillId="0" borderId="4" xfId="2" applyFont="1" applyFill="1" applyBorder="1" applyAlignment="1">
      <alignment horizontal="center" vertical="center"/>
    </xf>
    <xf numFmtId="10" fontId="25" fillId="0" borderId="3" xfId="4" applyNumberFormat="1" applyFont="1" applyFill="1" applyBorder="1" applyAlignment="1" applyProtection="1">
      <alignment horizontal="center" vertical="center"/>
    </xf>
    <xf numFmtId="10" fontId="26" fillId="0" borderId="3" xfId="4" applyNumberFormat="1" applyFont="1" applyFill="1" applyBorder="1" applyAlignment="1" applyProtection="1">
      <alignment horizontal="center" vertical="center"/>
    </xf>
    <xf numFmtId="0" fontId="27" fillId="0" borderId="0" xfId="0" applyFont="1"/>
    <xf numFmtId="0" fontId="5" fillId="0" borderId="3" xfId="2" applyFont="1" applyFill="1" applyBorder="1" applyAlignment="1">
      <alignment horizontal="center" vertical="center"/>
    </xf>
    <xf numFmtId="0" fontId="19" fillId="7" borderId="3" xfId="0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vertical="center"/>
    </xf>
    <xf numFmtId="0" fontId="5" fillId="0" borderId="4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 wrapText="1"/>
    </xf>
    <xf numFmtId="165" fontId="3" fillId="3" borderId="20" xfId="1" applyFont="1" applyFill="1" applyBorder="1" applyAlignment="1" applyProtection="1">
      <alignment vertical="center"/>
    </xf>
    <xf numFmtId="0" fontId="17" fillId="0" borderId="0" xfId="0" applyFont="1" applyFill="1" applyAlignment="1">
      <alignment vertical="center"/>
    </xf>
    <xf numFmtId="10" fontId="7" fillId="0" borderId="21" xfId="4" applyNumberFormat="1" applyFont="1" applyFill="1" applyBorder="1" applyAlignment="1" applyProtection="1">
      <alignment vertical="center"/>
    </xf>
    <xf numFmtId="0" fontId="7" fillId="0" borderId="22" xfId="2" applyFont="1" applyFill="1" applyBorder="1" applyAlignment="1">
      <alignment vertical="center"/>
    </xf>
    <xf numFmtId="0" fontId="7" fillId="0" borderId="22" xfId="2" applyFont="1" applyFill="1" applyBorder="1" applyAlignment="1">
      <alignment horizontal="left" vertical="center"/>
    </xf>
    <xf numFmtId="0" fontId="7" fillId="0" borderId="23" xfId="2" applyFont="1" applyFill="1" applyBorder="1" applyAlignment="1">
      <alignment horizontal="center" vertical="center"/>
    </xf>
    <xf numFmtId="10" fontId="5" fillId="0" borderId="21" xfId="2" applyNumberFormat="1" applyFont="1" applyFill="1" applyBorder="1" applyAlignment="1">
      <alignment horizontal="center" vertical="center"/>
    </xf>
    <xf numFmtId="0" fontId="5" fillId="0" borderId="22" xfId="2" applyFont="1" applyFill="1" applyBorder="1" applyAlignment="1">
      <alignment horizontal="center" vertical="center"/>
    </xf>
    <xf numFmtId="10" fontId="7" fillId="0" borderId="24" xfId="4" applyNumberFormat="1" applyFont="1" applyFill="1" applyBorder="1" applyAlignment="1" applyProtection="1">
      <alignment vertical="center"/>
    </xf>
    <xf numFmtId="0" fontId="7" fillId="0" borderId="26" xfId="2" applyFont="1" applyFill="1" applyBorder="1" applyAlignment="1">
      <alignment vertical="center"/>
    </xf>
    <xf numFmtId="0" fontId="7" fillId="0" borderId="26" xfId="2" applyFont="1" applyFill="1" applyBorder="1" applyAlignment="1">
      <alignment horizontal="left" vertical="center"/>
    </xf>
    <xf numFmtId="0" fontId="7" fillId="0" borderId="27" xfId="2" applyFont="1" applyFill="1" applyBorder="1" applyAlignment="1">
      <alignment horizontal="center" vertical="center"/>
    </xf>
    <xf numFmtId="164" fontId="5" fillId="0" borderId="0" xfId="3" applyFont="1" applyFill="1" applyBorder="1" applyAlignment="1" applyProtection="1">
      <alignment horizontal="center" vertical="center"/>
    </xf>
    <xf numFmtId="164" fontId="7" fillId="0" borderId="0" xfId="3" applyFont="1" applyFill="1" applyBorder="1" applyAlignment="1" applyProtection="1">
      <alignment horizontal="left" vertical="center"/>
    </xf>
    <xf numFmtId="0" fontId="7" fillId="0" borderId="0" xfId="2" applyFont="1" applyFill="1" applyBorder="1" applyAlignment="1">
      <alignment vertical="center"/>
    </xf>
    <xf numFmtId="0" fontId="0" fillId="0" borderId="0" xfId="0" applyBorder="1"/>
    <xf numFmtId="165" fontId="5" fillId="0" borderId="0" xfId="3" applyNumberFormat="1" applyFont="1" applyFill="1" applyBorder="1" applyAlignment="1" applyProtection="1">
      <alignment horizontal="center" vertical="center"/>
    </xf>
    <xf numFmtId="10" fontId="5" fillId="0" borderId="0" xfId="4" applyNumberFormat="1" applyFont="1" applyFill="1" applyBorder="1" applyAlignment="1" applyProtection="1">
      <alignment horizontal="center" vertical="center"/>
    </xf>
    <xf numFmtId="0" fontId="7" fillId="0" borderId="0" xfId="2" applyFont="1" applyFill="1" applyBorder="1" applyAlignment="1">
      <alignment horizontal="left" vertical="center"/>
    </xf>
    <xf numFmtId="165" fontId="5" fillId="0" borderId="3" xfId="3" applyNumberFormat="1" applyFont="1" applyFill="1" applyBorder="1" applyAlignment="1" applyProtection="1">
      <alignment horizontal="center" vertical="center"/>
    </xf>
    <xf numFmtId="0" fontId="7" fillId="0" borderId="30" xfId="2" applyFont="1" applyFill="1" applyBorder="1" applyAlignment="1">
      <alignment horizontal="left" vertical="center"/>
    </xf>
    <xf numFmtId="10" fontId="17" fillId="0" borderId="31" xfId="4" applyNumberFormat="1" applyFont="1" applyFill="1" applyBorder="1" applyAlignment="1" applyProtection="1">
      <alignment horizontal="center" vertical="center"/>
    </xf>
    <xf numFmtId="0" fontId="7" fillId="0" borderId="29" xfId="2" applyFont="1" applyFill="1" applyBorder="1" applyAlignment="1">
      <alignment horizontal="left" vertical="center"/>
    </xf>
    <xf numFmtId="0" fontId="7" fillId="0" borderId="30" xfId="2" applyFont="1" applyFill="1" applyBorder="1" applyAlignment="1">
      <alignment horizontal="center" vertical="center"/>
    </xf>
    <xf numFmtId="165" fontId="7" fillId="0" borderId="26" xfId="3" applyNumberFormat="1" applyFont="1" applyFill="1" applyBorder="1" applyAlignment="1" applyProtection="1">
      <alignment horizontal="center" vertical="center"/>
    </xf>
    <xf numFmtId="0" fontId="7" fillId="0" borderId="20" xfId="2" applyFont="1" applyFill="1" applyBorder="1" applyAlignment="1">
      <alignment horizontal="left" vertical="center"/>
    </xf>
    <xf numFmtId="10" fontId="7" fillId="0" borderId="23" xfId="4" applyNumberFormat="1" applyFont="1" applyFill="1" applyBorder="1" applyAlignment="1" applyProtection="1">
      <alignment horizontal="center" vertical="center"/>
    </xf>
    <xf numFmtId="0" fontId="7" fillId="0" borderId="20" xfId="2" applyFont="1" applyFill="1" applyBorder="1" applyAlignment="1">
      <alignment horizontal="center" vertical="center"/>
    </xf>
    <xf numFmtId="165" fontId="7" fillId="0" borderId="24" xfId="3" applyNumberFormat="1" applyFont="1" applyFill="1" applyBorder="1" applyAlignment="1" applyProtection="1">
      <alignment horizontal="center" vertical="center"/>
    </xf>
    <xf numFmtId="165" fontId="7" fillId="0" borderId="26" xfId="2" applyNumberFormat="1" applyFont="1" applyFill="1" applyBorder="1" applyAlignment="1">
      <alignment horizontal="center" vertical="center"/>
    </xf>
    <xf numFmtId="0" fontId="7" fillId="0" borderId="25" xfId="2" applyFont="1" applyFill="1" applyBorder="1" applyAlignment="1">
      <alignment horizontal="left" vertical="center"/>
    </xf>
    <xf numFmtId="10" fontId="7" fillId="0" borderId="27" xfId="4" applyNumberFormat="1" applyFont="1" applyFill="1" applyBorder="1" applyAlignment="1" applyProtection="1">
      <alignment horizontal="center" vertical="center"/>
    </xf>
    <xf numFmtId="0" fontId="5" fillId="0" borderId="25" xfId="2" applyFont="1" applyFill="1" applyBorder="1" applyAlignment="1">
      <alignment horizontal="left" vertical="center"/>
    </xf>
    <xf numFmtId="0" fontId="7" fillId="0" borderId="25" xfId="2" applyFont="1" applyFill="1" applyBorder="1" applyAlignment="1">
      <alignment horizontal="center" vertical="center"/>
    </xf>
    <xf numFmtId="165" fontId="7" fillId="0" borderId="0" xfId="3" applyNumberFormat="1" applyFont="1" applyFill="1" applyBorder="1" applyAlignment="1" applyProtection="1">
      <alignment horizontal="center" vertical="center"/>
    </xf>
    <xf numFmtId="0" fontId="7" fillId="0" borderId="33" xfId="2" applyFont="1" applyFill="1" applyBorder="1" applyAlignment="1">
      <alignment horizontal="left" vertical="center"/>
    </xf>
    <xf numFmtId="10" fontId="7" fillId="0" borderId="34" xfId="4" applyNumberFormat="1" applyFont="1" applyFill="1" applyBorder="1" applyAlignment="1" applyProtection="1">
      <alignment horizontal="center" vertical="center"/>
    </xf>
    <xf numFmtId="0" fontId="7" fillId="0" borderId="33" xfId="2" applyFont="1" applyFill="1" applyBorder="1" applyAlignment="1">
      <alignment horizontal="center" vertical="center"/>
    </xf>
    <xf numFmtId="165" fontId="7" fillId="0" borderId="28" xfId="3" applyNumberFormat="1" applyFont="1" applyFill="1" applyBorder="1" applyAlignment="1" applyProtection="1">
      <alignment horizontal="center" vertical="center"/>
    </xf>
    <xf numFmtId="165" fontId="7" fillId="0" borderId="29" xfId="2" applyNumberFormat="1" applyFont="1" applyFill="1" applyBorder="1" applyAlignment="1">
      <alignment horizontal="center" vertical="center"/>
    </xf>
    <xf numFmtId="165" fontId="7" fillId="0" borderId="22" xfId="3" applyNumberFormat="1" applyFont="1" applyFill="1" applyBorder="1" applyAlignment="1" applyProtection="1">
      <alignment horizontal="center" vertical="center"/>
    </xf>
    <xf numFmtId="10" fontId="17" fillId="0" borderId="22" xfId="4" applyNumberFormat="1" applyFont="1" applyFill="1" applyBorder="1" applyAlignment="1" applyProtection="1">
      <alignment horizontal="center" vertical="center"/>
    </xf>
    <xf numFmtId="165" fontId="7" fillId="0" borderId="22" xfId="2" applyNumberFormat="1" applyFont="1" applyFill="1" applyBorder="1" applyAlignment="1">
      <alignment horizontal="center" vertical="center"/>
    </xf>
    <xf numFmtId="10" fontId="17" fillId="0" borderId="23" xfId="4" applyNumberFormat="1" applyFont="1" applyFill="1" applyBorder="1" applyAlignment="1" applyProtection="1">
      <alignment horizontal="center" vertical="center"/>
    </xf>
    <xf numFmtId="0" fontId="7" fillId="0" borderId="21" xfId="2" applyFont="1" applyFill="1" applyBorder="1" applyAlignment="1">
      <alignment horizontal="left" vertical="center"/>
    </xf>
    <xf numFmtId="0" fontId="5" fillId="0" borderId="21" xfId="2" applyFont="1" applyFill="1" applyBorder="1" applyAlignment="1">
      <alignment horizontal="center" vertical="center"/>
    </xf>
    <xf numFmtId="0" fontId="5" fillId="0" borderId="20" xfId="2" applyFont="1" applyFill="1" applyBorder="1" applyAlignment="1">
      <alignment horizontal="left" vertical="center"/>
    </xf>
    <xf numFmtId="9" fontId="2" fillId="0" borderId="23" xfId="4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5" fillId="0" borderId="32" xfId="2" applyFont="1" applyFill="1" applyBorder="1" applyAlignment="1">
      <alignment horizontal="center" vertical="center"/>
    </xf>
    <xf numFmtId="167" fontId="7" fillId="0" borderId="21" xfId="2" applyNumberFormat="1" applyFont="1" applyFill="1" applyBorder="1" applyAlignment="1">
      <alignment horizontal="center" vertical="center"/>
    </xf>
    <xf numFmtId="0" fontId="7" fillId="0" borderId="20" xfId="2" applyFont="1" applyFill="1" applyBorder="1" applyAlignment="1">
      <alignment vertical="center"/>
    </xf>
    <xf numFmtId="0" fontId="5" fillId="0" borderId="22" xfId="2" applyFont="1" applyFill="1" applyBorder="1" applyAlignment="1">
      <alignment horizontal="left" vertical="center"/>
    </xf>
    <xf numFmtId="0" fontId="5" fillId="0" borderId="23" xfId="2" applyFont="1" applyFill="1" applyBorder="1" applyAlignment="1">
      <alignment horizontal="center" vertical="center"/>
    </xf>
    <xf numFmtId="165" fontId="5" fillId="0" borderId="21" xfId="3" applyNumberFormat="1" applyFont="1" applyFill="1" applyBorder="1" applyAlignment="1" applyProtection="1">
      <alignment horizontal="left" vertical="center"/>
    </xf>
    <xf numFmtId="164" fontId="7" fillId="0" borderId="22" xfId="3" applyFont="1" applyFill="1" applyBorder="1" applyAlignment="1" applyProtection="1">
      <alignment horizontal="left" vertical="center"/>
    </xf>
    <xf numFmtId="10" fontId="7" fillId="0" borderId="22" xfId="2" applyNumberFormat="1" applyFont="1" applyFill="1" applyBorder="1" applyAlignment="1">
      <alignment horizontal="right" vertical="center"/>
    </xf>
    <xf numFmtId="0" fontId="7" fillId="0" borderId="22" xfId="2" applyFont="1" applyFill="1" applyBorder="1" applyAlignment="1">
      <alignment horizontal="center" vertical="center"/>
    </xf>
    <xf numFmtId="10" fontId="7" fillId="0" borderId="21" xfId="2" applyNumberFormat="1" applyFont="1" applyFill="1" applyBorder="1" applyAlignment="1">
      <alignment horizontal="right" vertical="center"/>
    </xf>
    <xf numFmtId="165" fontId="7" fillId="0" borderId="21" xfId="3" applyNumberFormat="1" applyFont="1" applyFill="1" applyBorder="1" applyAlignment="1" applyProtection="1">
      <alignment horizontal="left" vertical="center"/>
    </xf>
    <xf numFmtId="164" fontId="5" fillId="0" borderId="21" xfId="3" applyFont="1" applyFill="1" applyBorder="1" applyAlignment="1" applyProtection="1">
      <alignment horizontal="center" vertical="center"/>
    </xf>
    <xf numFmtId="164" fontId="5" fillId="0" borderId="22" xfId="3" applyFont="1" applyFill="1" applyBorder="1" applyAlignment="1" applyProtection="1">
      <alignment horizontal="left" vertical="center"/>
    </xf>
    <xf numFmtId="165" fontId="2" fillId="0" borderId="32" xfId="1" applyFill="1" applyBorder="1" applyAlignment="1">
      <alignment horizontal="center" vertical="center"/>
    </xf>
    <xf numFmtId="165" fontId="2" fillId="0" borderId="0" xfId="1" applyFill="1" applyBorder="1" applyAlignment="1">
      <alignment horizontal="center" vertical="center"/>
    </xf>
    <xf numFmtId="165" fontId="5" fillId="5" borderId="21" xfId="3" applyNumberFormat="1" applyFont="1" applyFill="1" applyBorder="1" applyAlignment="1" applyProtection="1">
      <alignment horizontal="center" vertical="center"/>
    </xf>
    <xf numFmtId="165" fontId="5" fillId="0" borderId="22" xfId="3" applyNumberFormat="1" applyFont="1" applyFill="1" applyBorder="1" applyAlignment="1" applyProtection="1">
      <alignment horizontal="center" vertical="center"/>
    </xf>
    <xf numFmtId="10" fontId="5" fillId="0" borderId="22" xfId="2" applyNumberFormat="1" applyFont="1" applyFill="1" applyBorder="1" applyAlignment="1">
      <alignment vertical="center"/>
    </xf>
    <xf numFmtId="0" fontId="5" fillId="0" borderId="22" xfId="2" applyFont="1" applyFill="1" applyBorder="1" applyAlignment="1">
      <alignment vertical="center"/>
    </xf>
    <xf numFmtId="0" fontId="5" fillId="0" borderId="20" xfId="2" applyFont="1" applyFill="1" applyBorder="1" applyAlignment="1">
      <alignment vertical="center"/>
    </xf>
    <xf numFmtId="164" fontId="5" fillId="0" borderId="20" xfId="3" applyFont="1" applyFill="1" applyBorder="1" applyAlignment="1" applyProtection="1">
      <alignment horizontal="left" vertical="center"/>
    </xf>
    <xf numFmtId="10" fontId="5" fillId="0" borderId="21" xfId="2" applyNumberFormat="1" applyFont="1" applyFill="1" applyBorder="1" applyAlignment="1">
      <alignment horizontal="right" vertical="center"/>
    </xf>
    <xf numFmtId="0" fontId="5" fillId="0" borderId="20" xfId="2" applyFont="1" applyFill="1" applyBorder="1" applyAlignment="1">
      <alignment horizontal="center" vertical="center"/>
    </xf>
    <xf numFmtId="165" fontId="18" fillId="0" borderId="21" xfId="3" applyNumberFormat="1" applyFont="1" applyFill="1" applyBorder="1" applyAlignment="1" applyProtection="1">
      <alignment horizontal="left" vertical="center"/>
    </xf>
    <xf numFmtId="164" fontId="29" fillId="0" borderId="20" xfId="3" applyFont="1" applyFill="1" applyBorder="1" applyAlignment="1" applyProtection="1">
      <alignment horizontal="left" vertical="center"/>
    </xf>
    <xf numFmtId="0" fontId="18" fillId="0" borderId="22" xfId="2" applyFont="1" applyFill="1" applyBorder="1" applyAlignment="1">
      <alignment horizontal="left" vertical="center"/>
    </xf>
    <xf numFmtId="0" fontId="18" fillId="0" borderId="22" xfId="2" applyFont="1" applyFill="1" applyBorder="1" applyAlignment="1">
      <alignment vertical="center"/>
    </xf>
    <xf numFmtId="9" fontId="0" fillId="0" borderId="0" xfId="0" applyNumberFormat="1"/>
    <xf numFmtId="166" fontId="0" fillId="0" borderId="0" xfId="0" applyNumberFormat="1"/>
    <xf numFmtId="164" fontId="7" fillId="0" borderId="20" xfId="3" applyFont="1" applyFill="1" applyBorder="1" applyAlignment="1" applyProtection="1">
      <alignment horizontal="left" vertical="center"/>
    </xf>
    <xf numFmtId="0" fontId="30" fillId="0" borderId="0" xfId="0" applyFont="1"/>
    <xf numFmtId="43" fontId="30" fillId="0" borderId="0" xfId="0" applyNumberFormat="1" applyFont="1"/>
    <xf numFmtId="10" fontId="30" fillId="0" borderId="0" xfId="0" applyNumberFormat="1" applyFont="1"/>
    <xf numFmtId="164" fontId="18" fillId="0" borderId="20" xfId="3" applyFont="1" applyFill="1" applyBorder="1" applyAlignment="1" applyProtection="1">
      <alignment horizontal="left" vertical="center"/>
    </xf>
    <xf numFmtId="0" fontId="18" fillId="0" borderId="23" xfId="2" applyFont="1" applyFill="1" applyBorder="1" applyAlignment="1">
      <alignment horizontal="center" vertical="center"/>
    </xf>
    <xf numFmtId="10" fontId="7" fillId="0" borderId="21" xfId="4" applyNumberFormat="1" applyFont="1" applyFill="1" applyBorder="1" applyAlignment="1" applyProtection="1">
      <alignment horizontal="center" vertical="center"/>
    </xf>
    <xf numFmtId="0" fontId="17" fillId="0" borderId="22" xfId="0" applyFont="1" applyFill="1" applyBorder="1" applyAlignment="1">
      <alignment vertical="center"/>
    </xf>
    <xf numFmtId="165" fontId="18" fillId="0" borderId="21" xfId="3" applyNumberFormat="1" applyFont="1" applyFill="1" applyBorder="1" applyAlignment="1" applyProtection="1">
      <alignment horizontal="center" vertical="center"/>
    </xf>
    <xf numFmtId="165" fontId="18" fillId="0" borderId="22" xfId="3" applyNumberFormat="1" applyFont="1" applyFill="1" applyBorder="1" applyAlignment="1" applyProtection="1">
      <alignment horizontal="center" vertical="center"/>
    </xf>
    <xf numFmtId="165" fontId="18" fillId="0" borderId="20" xfId="3" applyNumberFormat="1" applyFont="1" applyFill="1" applyBorder="1" applyAlignment="1" applyProtection="1">
      <alignment horizontal="center" vertical="center"/>
    </xf>
    <xf numFmtId="0" fontId="18" fillId="0" borderId="20" xfId="2" applyFont="1" applyFill="1" applyBorder="1" applyAlignment="1">
      <alignment horizontal="center" vertical="center"/>
    </xf>
    <xf numFmtId="165" fontId="18" fillId="0" borderId="20" xfId="3" applyNumberFormat="1" applyFont="1" applyFill="1" applyBorder="1" applyAlignment="1" applyProtection="1">
      <alignment vertical="center"/>
    </xf>
    <xf numFmtId="165" fontId="18" fillId="0" borderId="22" xfId="3" applyNumberFormat="1" applyFont="1" applyFill="1" applyBorder="1" applyAlignment="1" applyProtection="1">
      <alignment vertical="center"/>
    </xf>
    <xf numFmtId="0" fontId="18" fillId="0" borderId="21" xfId="2" applyFont="1" applyFill="1" applyBorder="1" applyAlignment="1">
      <alignment horizontal="center" vertical="center"/>
    </xf>
    <xf numFmtId="0" fontId="18" fillId="0" borderId="20" xfId="2" applyFont="1" applyFill="1" applyBorder="1" applyAlignment="1">
      <alignment vertical="center"/>
    </xf>
    <xf numFmtId="0" fontId="7" fillId="0" borderId="21" xfId="2" applyFont="1" applyFill="1" applyBorder="1" applyAlignment="1">
      <alignment horizontal="center" vertical="center"/>
    </xf>
    <xf numFmtId="10" fontId="5" fillId="0" borderId="22" xfId="2" applyNumberFormat="1" applyFont="1" applyFill="1" applyBorder="1" applyAlignment="1">
      <alignment horizontal="center" vertical="center"/>
    </xf>
    <xf numFmtId="10" fontId="5" fillId="0" borderId="21" xfId="4" applyNumberFormat="1" applyFont="1" applyFill="1" applyBorder="1" applyAlignment="1" applyProtection="1">
      <alignment horizontal="center" vertical="center"/>
    </xf>
    <xf numFmtId="164" fontId="5" fillId="0" borderId="20" xfId="3" applyFont="1" applyFill="1" applyBorder="1" applyAlignment="1" applyProtection="1">
      <alignment horizontal="center" vertical="center"/>
    </xf>
    <xf numFmtId="164" fontId="7" fillId="0" borderId="22" xfId="3" applyFont="1" applyFill="1" applyBorder="1" applyAlignment="1" applyProtection="1">
      <alignment horizontal="center" vertical="center"/>
    </xf>
    <xf numFmtId="0" fontId="7" fillId="0" borderId="41" xfId="2" applyFont="1" applyFill="1" applyBorder="1" applyAlignment="1">
      <alignment horizontal="center" vertical="center"/>
    </xf>
    <xf numFmtId="164" fontId="7" fillId="0" borderId="20" xfId="3" applyFont="1" applyFill="1" applyBorder="1" applyAlignment="1" applyProtection="1">
      <alignment horizontal="center" vertical="center"/>
    </xf>
    <xf numFmtId="0" fontId="7" fillId="0" borderId="29" xfId="2" applyFont="1" applyFill="1" applyBorder="1" applyAlignment="1">
      <alignment vertical="center"/>
    </xf>
    <xf numFmtId="0" fontId="7" fillId="0" borderId="31" xfId="2" applyFont="1" applyFill="1" applyBorder="1" applyAlignment="1">
      <alignment horizontal="center" vertical="center"/>
    </xf>
    <xf numFmtId="168" fontId="0" fillId="0" borderId="0" xfId="0" applyNumberFormat="1"/>
    <xf numFmtId="9" fontId="2" fillId="0" borderId="0" xfId="4"/>
    <xf numFmtId="165" fontId="5" fillId="0" borderId="21" xfId="3" applyNumberFormat="1" applyFont="1" applyFill="1" applyBorder="1" applyAlignment="1" applyProtection="1">
      <alignment horizontal="center" vertical="center"/>
    </xf>
    <xf numFmtId="10" fontId="0" fillId="0" borderId="0" xfId="0" applyNumberFormat="1"/>
    <xf numFmtId="165" fontId="2" fillId="0" borderId="20" xfId="1" applyFill="1" applyBorder="1" applyAlignment="1" applyProtection="1">
      <alignment vertical="center"/>
    </xf>
    <xf numFmtId="0" fontId="7" fillId="0" borderId="21" xfId="2" applyFont="1" applyFill="1" applyBorder="1" applyAlignment="1">
      <alignment vertical="center"/>
    </xf>
    <xf numFmtId="164" fontId="5" fillId="0" borderId="32" xfId="3" applyFont="1" applyFill="1" applyBorder="1" applyAlignment="1" applyProtection="1">
      <alignment horizontal="center" vertical="center"/>
    </xf>
    <xf numFmtId="165" fontId="16" fillId="0" borderId="21" xfId="3" applyNumberFormat="1" applyFont="1" applyFill="1" applyBorder="1" applyAlignment="1" applyProtection="1">
      <alignment horizontal="center" vertical="center"/>
    </xf>
    <xf numFmtId="0" fontId="14" fillId="0" borderId="20" xfId="2" applyFont="1" applyFill="1" applyBorder="1" applyAlignment="1">
      <alignment horizontal="center" vertical="center"/>
    </xf>
    <xf numFmtId="12" fontId="7" fillId="0" borderId="23" xfId="2" applyNumberFormat="1" applyFont="1" applyFill="1" applyBorder="1" applyAlignment="1">
      <alignment horizontal="center" vertical="center"/>
    </xf>
    <xf numFmtId="0" fontId="7" fillId="0" borderId="23" xfId="1" applyNumberFormat="1" applyFont="1" applyFill="1" applyBorder="1" applyAlignment="1" applyProtection="1">
      <alignment horizontal="center" vertical="center"/>
    </xf>
    <xf numFmtId="0" fontId="7" fillId="0" borderId="23" xfId="2" applyNumberFormat="1" applyFont="1" applyFill="1" applyBorder="1" applyAlignment="1">
      <alignment horizontal="center" vertical="center"/>
    </xf>
    <xf numFmtId="10" fontId="7" fillId="0" borderId="23" xfId="2" applyNumberFormat="1" applyFont="1" applyFill="1" applyBorder="1" applyAlignment="1">
      <alignment horizontal="center" vertical="center"/>
    </xf>
    <xf numFmtId="14" fontId="5" fillId="0" borderId="22" xfId="2" applyNumberFormat="1" applyFont="1" applyFill="1" applyBorder="1" applyAlignment="1">
      <alignment horizontal="center" vertical="center"/>
    </xf>
    <xf numFmtId="14" fontId="5" fillId="0" borderId="22" xfId="2" applyNumberFormat="1" applyFont="1" applyFill="1" applyBorder="1" applyAlignment="1">
      <alignment vertical="center"/>
    </xf>
    <xf numFmtId="165" fontId="35" fillId="0" borderId="4" xfId="3" applyNumberFormat="1" applyFont="1" applyFill="1" applyBorder="1" applyAlignment="1" applyProtection="1">
      <alignment vertical="center"/>
    </xf>
    <xf numFmtId="164" fontId="5" fillId="0" borderId="24" xfId="3" applyFont="1" applyFill="1" applyBorder="1" applyAlignment="1" applyProtection="1">
      <alignment horizontal="center" vertical="center"/>
    </xf>
    <xf numFmtId="164" fontId="7" fillId="0" borderId="26" xfId="3" applyFont="1" applyFill="1" applyBorder="1" applyAlignment="1" applyProtection="1">
      <alignment horizontal="left" vertical="center"/>
    </xf>
    <xf numFmtId="10" fontId="17" fillId="0" borderId="3" xfId="4" applyNumberFormat="1" applyFont="1" applyFill="1" applyBorder="1" applyAlignment="1" applyProtection="1">
      <alignment horizontal="center" vertical="center"/>
    </xf>
    <xf numFmtId="10" fontId="17" fillId="0" borderId="27" xfId="4" applyNumberFormat="1" applyFont="1" applyFill="1" applyBorder="1" applyAlignment="1" applyProtection="1">
      <alignment horizontal="center" vertical="center"/>
    </xf>
    <xf numFmtId="10" fontId="17" fillId="0" borderId="34" xfId="4" applyNumberFormat="1" applyFont="1" applyFill="1" applyBorder="1" applyAlignment="1" applyProtection="1">
      <alignment horizontal="center" vertical="center"/>
    </xf>
    <xf numFmtId="14" fontId="0" fillId="0" borderId="0" xfId="0" applyNumberFormat="1"/>
    <xf numFmtId="169" fontId="0" fillId="0" borderId="0" xfId="0" applyNumberFormat="1"/>
    <xf numFmtId="0" fontId="5" fillId="0" borderId="24" xfId="2" applyFont="1" applyFill="1" applyBorder="1" applyAlignment="1">
      <alignment horizontal="center" vertical="center"/>
    </xf>
    <xf numFmtId="0" fontId="5" fillId="0" borderId="26" xfId="2" applyFont="1" applyFill="1" applyBorder="1" applyAlignment="1">
      <alignment horizontal="center" vertical="center"/>
    </xf>
    <xf numFmtId="14" fontId="5" fillId="0" borderId="26" xfId="2" applyNumberFormat="1" applyFont="1" applyFill="1" applyBorder="1" applyAlignment="1">
      <alignment vertical="center"/>
    </xf>
    <xf numFmtId="0" fontId="5" fillId="0" borderId="26" xfId="2" applyFont="1" applyFill="1" applyBorder="1" applyAlignment="1">
      <alignment horizontal="left" vertical="center"/>
    </xf>
    <xf numFmtId="0" fontId="2" fillId="0" borderId="0" xfId="6"/>
    <xf numFmtId="0" fontId="2" fillId="0" borderId="0" xfId="6" applyFill="1"/>
    <xf numFmtId="0" fontId="2" fillId="0" borderId="0" xfId="6" applyAlignment="1">
      <alignment horizontal="center"/>
    </xf>
    <xf numFmtId="0" fontId="9" fillId="0" borderId="0" xfId="6" applyFont="1"/>
    <xf numFmtId="10" fontId="5" fillId="0" borderId="3" xfId="7" applyNumberFormat="1" applyFont="1" applyFill="1" applyBorder="1" applyAlignment="1">
      <alignment horizontal="center" vertical="center"/>
    </xf>
    <xf numFmtId="9" fontId="7" fillId="0" borderId="3" xfId="8" applyFont="1" applyFill="1" applyBorder="1" applyAlignment="1" applyProtection="1">
      <alignment vertical="center"/>
    </xf>
    <xf numFmtId="10" fontId="7" fillId="0" borderId="3" xfId="8" applyNumberFormat="1" applyFont="1" applyFill="1" applyBorder="1" applyAlignment="1" applyProtection="1">
      <alignment vertical="center"/>
    </xf>
    <xf numFmtId="0" fontId="7" fillId="0" borderId="4" xfId="7" applyFont="1" applyFill="1" applyBorder="1" applyAlignment="1">
      <alignment horizontal="center" vertical="center"/>
    </xf>
    <xf numFmtId="0" fontId="6" fillId="0" borderId="3" xfId="6" applyFont="1" applyFill="1" applyBorder="1" applyAlignment="1">
      <alignment horizontal="center"/>
    </xf>
    <xf numFmtId="0" fontId="8" fillId="0" borderId="3" xfId="6" applyFont="1" applyFill="1" applyBorder="1"/>
    <xf numFmtId="165" fontId="2" fillId="0" borderId="3" xfId="9" applyFill="1" applyBorder="1"/>
    <xf numFmtId="44" fontId="7" fillId="0" borderId="3" xfId="10" applyFont="1" applyFill="1" applyBorder="1" applyAlignment="1" applyProtection="1">
      <alignment vertical="center"/>
    </xf>
    <xf numFmtId="165" fontId="8" fillId="0" borderId="3" xfId="9" applyFont="1" applyFill="1" applyBorder="1"/>
    <xf numFmtId="10" fontId="2" fillId="0" borderId="3" xfId="4" applyNumberFormat="1" applyFill="1" applyBorder="1" applyAlignment="1" applyProtection="1">
      <alignment vertical="center"/>
    </xf>
    <xf numFmtId="0" fontId="5" fillId="0" borderId="3" xfId="7" applyFont="1" applyFill="1" applyBorder="1" applyAlignment="1">
      <alignment horizontal="center" vertical="center"/>
    </xf>
    <xf numFmtId="0" fontId="5" fillId="0" borderId="4" xfId="7" applyFont="1" applyFill="1" applyBorder="1" applyAlignment="1">
      <alignment horizontal="center" vertical="center"/>
    </xf>
    <xf numFmtId="10" fontId="7" fillId="0" borderId="3" xfId="10" applyNumberFormat="1" applyFont="1" applyFill="1" applyBorder="1" applyAlignment="1" applyProtection="1">
      <alignment vertical="center"/>
    </xf>
    <xf numFmtId="0" fontId="3" fillId="0" borderId="0" xfId="6" applyFont="1" applyFill="1" applyAlignment="1">
      <alignment horizontal="center" vertical="center" wrapText="1"/>
    </xf>
    <xf numFmtId="0" fontId="5" fillId="0" borderId="3" xfId="7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center" vertical="center"/>
    </xf>
    <xf numFmtId="0" fontId="8" fillId="0" borderId="0" xfId="6" applyFont="1" applyFill="1"/>
    <xf numFmtId="0" fontId="8" fillId="0" borderId="0" xfId="6" applyFont="1"/>
    <xf numFmtId="0" fontId="27" fillId="0" borderId="0" xfId="6" applyFont="1"/>
    <xf numFmtId="0" fontId="24" fillId="0" borderId="4" xfId="7" applyFont="1" applyFill="1" applyBorder="1" applyAlignment="1">
      <alignment horizontal="center" vertical="center"/>
    </xf>
    <xf numFmtId="0" fontId="3" fillId="0" borderId="0" xfId="6" applyFont="1"/>
    <xf numFmtId="0" fontId="5" fillId="6" borderId="4" xfId="7" applyFont="1" applyFill="1" applyBorder="1" applyAlignment="1">
      <alignment horizontal="center" vertical="center"/>
    </xf>
    <xf numFmtId="0" fontId="2" fillId="0" borderId="0" xfId="6" applyAlignment="1">
      <alignment horizontal="center" vertical="center"/>
    </xf>
    <xf numFmtId="0" fontId="8" fillId="0" borderId="3" xfId="6" applyFont="1" applyFill="1" applyBorder="1" applyAlignment="1">
      <alignment horizontal="center" vertical="center"/>
    </xf>
    <xf numFmtId="165" fontId="2" fillId="0" borderId="3" xfId="9" applyFill="1" applyBorder="1" applyAlignment="1">
      <alignment horizontal="center" vertical="center"/>
    </xf>
    <xf numFmtId="170" fontId="7" fillId="0" borderId="3" xfId="10" applyNumberFormat="1" applyFont="1" applyFill="1" applyBorder="1" applyAlignment="1" applyProtection="1">
      <alignment vertical="center"/>
    </xf>
    <xf numFmtId="166" fontId="7" fillId="0" borderId="3" xfId="10" applyNumberFormat="1" applyFont="1" applyFill="1" applyBorder="1" applyAlignment="1" applyProtection="1">
      <alignment vertical="center"/>
    </xf>
    <xf numFmtId="166" fontId="2" fillId="0" borderId="3" xfId="4" applyNumberFormat="1" applyFill="1" applyBorder="1" applyAlignment="1" applyProtection="1">
      <alignment vertical="center"/>
    </xf>
    <xf numFmtId="0" fontId="35" fillId="0" borderId="3" xfId="2" applyFont="1" applyFill="1" applyBorder="1" applyAlignment="1">
      <alignment vertical="center"/>
    </xf>
    <xf numFmtId="165" fontId="2" fillId="0" borderId="3" xfId="1" applyFill="1" applyBorder="1" applyAlignment="1">
      <alignment vertical="center"/>
    </xf>
    <xf numFmtId="10" fontId="2" fillId="0" borderId="0" xfId="5" applyNumberFormat="1" applyAlignment="1">
      <alignment horizontal="center" vertical="center"/>
    </xf>
    <xf numFmtId="0" fontId="12" fillId="0" borderId="3" xfId="0" applyFont="1" applyBorder="1" applyAlignment="1">
      <alignment horizontal="justify" vertical="center" wrapText="1"/>
    </xf>
    <xf numFmtId="10" fontId="2" fillId="0" borderId="3" xfId="6" applyNumberFormat="1" applyFill="1" applyBorder="1"/>
    <xf numFmtId="10" fontId="2" fillId="0" borderId="3" xfId="10" applyNumberFormat="1" applyFont="1" applyFill="1" applyBorder="1"/>
    <xf numFmtId="10" fontId="8" fillId="0" borderId="3" xfId="5" applyNumberFormat="1" applyFont="1" applyFill="1" applyBorder="1"/>
    <xf numFmtId="10" fontId="2" fillId="0" borderId="3" xfId="5" applyNumberFormat="1" applyFill="1" applyBorder="1"/>
    <xf numFmtId="10" fontId="2" fillId="0" borderId="3" xfId="9" applyNumberFormat="1" applyFill="1" applyBorder="1"/>
    <xf numFmtId="10" fontId="7" fillId="0" borderId="3" xfId="5" applyNumberFormat="1" applyFont="1" applyFill="1" applyBorder="1" applyAlignment="1" applyProtection="1">
      <alignment vertical="center"/>
    </xf>
    <xf numFmtId="165" fontId="8" fillId="0" borderId="3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0" fontId="0" fillId="0" borderId="3" xfId="0" applyNumberFormat="1" applyBorder="1" applyAlignment="1">
      <alignment horizontal="center"/>
    </xf>
    <xf numFmtId="166" fontId="8" fillId="0" borderId="3" xfId="5" applyNumberFormat="1" applyFont="1" applyFill="1" applyBorder="1"/>
    <xf numFmtId="10" fontId="28" fillId="0" borderId="0" xfId="4" applyNumberFormat="1" applyFont="1" applyAlignment="1">
      <alignment horizontal="center"/>
    </xf>
    <xf numFmtId="165" fontId="35" fillId="0" borderId="4" xfId="3" applyNumberFormat="1" applyFont="1" applyFill="1" applyBorder="1" applyAlignment="1" applyProtection="1">
      <alignment horizontal="center" vertical="center"/>
    </xf>
    <xf numFmtId="10" fontId="35" fillId="0" borderId="3" xfId="4" applyNumberFormat="1" applyFont="1" applyFill="1" applyBorder="1" applyAlignment="1" applyProtection="1">
      <alignment horizontal="center" vertical="center"/>
    </xf>
    <xf numFmtId="10" fontId="28" fillId="0" borderId="0" xfId="5" applyNumberFormat="1" applyFont="1" applyAlignment="1">
      <alignment horizontal="center" vertical="center"/>
    </xf>
    <xf numFmtId="166" fontId="35" fillId="0" borderId="3" xfId="4" applyNumberFormat="1" applyFont="1" applyFill="1" applyBorder="1" applyAlignment="1" applyProtection="1">
      <alignment horizontal="center" vertical="center"/>
    </xf>
    <xf numFmtId="10" fontId="28" fillId="0" borderId="3" xfId="4" applyNumberFormat="1" applyFont="1" applyFill="1" applyBorder="1" applyAlignment="1" applyProtection="1">
      <alignment horizontal="center" vertical="center"/>
    </xf>
    <xf numFmtId="165" fontId="36" fillId="0" borderId="4" xfId="3" applyNumberFormat="1" applyFont="1" applyFill="1" applyBorder="1" applyAlignment="1" applyProtection="1">
      <alignment horizontal="center" vertical="center"/>
    </xf>
    <xf numFmtId="0" fontId="35" fillId="0" borderId="3" xfId="2" applyFont="1" applyFill="1" applyBorder="1" applyAlignment="1">
      <alignment horizontal="center" vertical="center"/>
    </xf>
    <xf numFmtId="165" fontId="35" fillId="0" borderId="4" xfId="3" applyNumberFormat="1" applyFont="1" applyFill="1" applyBorder="1" applyAlignment="1" applyProtection="1">
      <alignment horizontal="left" vertical="center"/>
    </xf>
    <xf numFmtId="166" fontId="0" fillId="0" borderId="0" xfId="5" applyNumberFormat="1" applyFont="1"/>
    <xf numFmtId="0" fontId="36" fillId="0" borderId="3" xfId="2" applyFont="1" applyFill="1" applyBorder="1" applyAlignment="1">
      <alignment horizontal="center" vertical="center" wrapText="1"/>
    </xf>
    <xf numFmtId="0" fontId="36" fillId="0" borderId="4" xfId="2" applyFont="1" applyFill="1" applyBorder="1" applyAlignment="1">
      <alignment horizontal="center" vertical="center"/>
    </xf>
    <xf numFmtId="165" fontId="37" fillId="0" borderId="4" xfId="1" applyFont="1" applyFill="1" applyBorder="1" applyAlignment="1" applyProtection="1">
      <alignment horizontal="center" vertical="center"/>
    </xf>
    <xf numFmtId="165" fontId="36" fillId="0" borderId="17" xfId="3" applyNumberFormat="1" applyFont="1" applyFill="1" applyBorder="1" applyAlignment="1" applyProtection="1">
      <alignment horizontal="left" vertical="center"/>
    </xf>
    <xf numFmtId="165" fontId="36" fillId="0" borderId="17" xfId="3" applyNumberFormat="1" applyFont="1" applyFill="1" applyBorder="1" applyAlignment="1" applyProtection="1">
      <alignment horizontal="center" vertical="center"/>
    </xf>
    <xf numFmtId="0" fontId="36" fillId="5" borderId="15" xfId="2" applyFont="1" applyFill="1" applyBorder="1" applyAlignment="1">
      <alignment vertical="center"/>
    </xf>
    <xf numFmtId="165" fontId="35" fillId="0" borderId="3" xfId="3" applyNumberFormat="1" applyFont="1" applyFill="1" applyBorder="1" applyAlignment="1" applyProtection="1">
      <alignment vertical="center"/>
    </xf>
    <xf numFmtId="165" fontId="28" fillId="0" borderId="3" xfId="1" applyFont="1" applyFill="1" applyBorder="1" applyAlignment="1" applyProtection="1">
      <alignment vertical="center"/>
    </xf>
    <xf numFmtId="165" fontId="36" fillId="0" borderId="3" xfId="3" applyNumberFormat="1" applyFont="1" applyFill="1" applyBorder="1" applyAlignment="1" applyProtection="1">
      <alignment vertical="center"/>
    </xf>
    <xf numFmtId="165" fontId="36" fillId="0" borderId="4" xfId="3" applyNumberFormat="1" applyFont="1" applyFill="1" applyBorder="1" applyAlignment="1" applyProtection="1">
      <alignment horizontal="left" vertical="center"/>
    </xf>
    <xf numFmtId="165" fontId="36" fillId="0" borderId="4" xfId="3" applyNumberFormat="1" applyFont="1" applyFill="1" applyBorder="1" applyAlignment="1" applyProtection="1">
      <alignment vertical="center"/>
    </xf>
    <xf numFmtId="0" fontId="36" fillId="0" borderId="3" xfId="2" applyFont="1" applyFill="1" applyBorder="1" applyAlignment="1">
      <alignment horizontal="center" vertical="center"/>
    </xf>
    <xf numFmtId="165" fontId="38" fillId="0" borderId="3" xfId="1" applyFont="1" applyFill="1" applyBorder="1" applyAlignment="1" applyProtection="1">
      <alignment vertical="center"/>
    </xf>
    <xf numFmtId="165" fontId="37" fillId="5" borderId="3" xfId="1" applyFont="1" applyFill="1" applyBorder="1" applyAlignment="1" applyProtection="1">
      <alignment vertical="center"/>
    </xf>
    <xf numFmtId="165" fontId="36" fillId="5" borderId="4" xfId="3" applyNumberFormat="1" applyFont="1" applyFill="1" applyBorder="1" applyAlignment="1" applyProtection="1">
      <alignment horizontal="center" vertical="center"/>
    </xf>
    <xf numFmtId="165" fontId="38" fillId="0" borderId="4" xfId="4" applyNumberFormat="1" applyFont="1" applyFill="1" applyBorder="1" applyAlignment="1" applyProtection="1">
      <alignment vertical="center"/>
    </xf>
    <xf numFmtId="165" fontId="37" fillId="0" borderId="17" xfId="1" applyFont="1" applyFill="1" applyBorder="1" applyAlignment="1" applyProtection="1">
      <alignment vertical="center"/>
    </xf>
    <xf numFmtId="0" fontId="28" fillId="0" borderId="3" xfId="0" applyFont="1" applyBorder="1"/>
    <xf numFmtId="165" fontId="35" fillId="0" borderId="4" xfId="2" applyNumberFormat="1" applyFont="1" applyFill="1" applyBorder="1" applyAlignment="1">
      <alignment horizontal="center" vertical="center"/>
    </xf>
    <xf numFmtId="165" fontId="37" fillId="4" borderId="4" xfId="1" applyFont="1" applyFill="1" applyBorder="1" applyAlignment="1" applyProtection="1">
      <alignment vertical="center"/>
    </xf>
    <xf numFmtId="0" fontId="28" fillId="0" borderId="0" xfId="0" applyFont="1"/>
    <xf numFmtId="0" fontId="35" fillId="0" borderId="14" xfId="2" applyFont="1" applyFill="1" applyBorder="1" applyAlignment="1">
      <alignment vertical="center"/>
    </xf>
    <xf numFmtId="10" fontId="35" fillId="0" borderId="3" xfId="2" applyNumberFormat="1" applyFont="1" applyFill="1" applyBorder="1" applyAlignment="1">
      <alignment vertical="center"/>
    </xf>
    <xf numFmtId="10" fontId="36" fillId="0" borderId="3" xfId="2" applyNumberFormat="1" applyFont="1" applyFill="1" applyBorder="1" applyAlignment="1">
      <alignment vertical="center"/>
    </xf>
    <xf numFmtId="164" fontId="36" fillId="0" borderId="3" xfId="3" applyFont="1" applyFill="1" applyBorder="1" applyAlignment="1" applyProtection="1">
      <alignment horizontal="center" vertical="center"/>
    </xf>
    <xf numFmtId="10" fontId="36" fillId="0" borderId="3" xfId="4" applyNumberFormat="1" applyFont="1" applyFill="1" applyBorder="1" applyAlignment="1" applyProtection="1">
      <alignment horizontal="center" vertical="center"/>
    </xf>
    <xf numFmtId="0" fontId="36" fillId="0" borderId="3" xfId="2" applyFont="1" applyFill="1" applyBorder="1" applyAlignment="1">
      <alignment vertical="center"/>
    </xf>
    <xf numFmtId="10" fontId="35" fillId="0" borderId="3" xfId="4" applyNumberFormat="1" applyFont="1" applyFill="1" applyBorder="1" applyAlignment="1" applyProtection="1">
      <alignment vertical="center"/>
    </xf>
    <xf numFmtId="164" fontId="36" fillId="0" borderId="3" xfId="3" applyFont="1" applyFill="1" applyBorder="1" applyAlignment="1" applyProtection="1">
      <alignment horizontal="left" vertical="center"/>
    </xf>
    <xf numFmtId="164" fontId="35" fillId="0" borderId="3" xfId="3" applyFont="1" applyFill="1" applyBorder="1" applyAlignment="1" applyProtection="1">
      <alignment horizontal="left" vertical="center"/>
    </xf>
    <xf numFmtId="9" fontId="28" fillId="0" borderId="3" xfId="0" applyNumberFormat="1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10" fontId="37" fillId="0" borderId="4" xfId="4" applyNumberFormat="1" applyFont="1" applyFill="1" applyBorder="1" applyAlignment="1" applyProtection="1">
      <alignment horizontal="center" vertical="center"/>
    </xf>
    <xf numFmtId="165" fontId="36" fillId="0" borderId="4" xfId="2" applyNumberFormat="1" applyFont="1" applyFill="1" applyBorder="1" applyAlignment="1">
      <alignment horizontal="center" vertical="center"/>
    </xf>
    <xf numFmtId="9" fontId="37" fillId="0" borderId="4" xfId="4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8" fillId="0" borderId="4" xfId="1" applyFont="1" applyFill="1" applyBorder="1" applyAlignment="1" applyProtection="1">
      <alignment vertical="center"/>
    </xf>
    <xf numFmtId="165" fontId="39" fillId="0" borderId="3" xfId="1" applyFont="1" applyFill="1" applyBorder="1" applyAlignment="1" applyProtection="1">
      <alignment vertical="center"/>
    </xf>
    <xf numFmtId="165" fontId="6" fillId="5" borderId="3" xfId="1" applyFont="1" applyFill="1" applyBorder="1" applyAlignment="1" applyProtection="1">
      <alignment vertical="center"/>
    </xf>
    <xf numFmtId="165" fontId="39" fillId="0" borderId="4" xfId="4" applyNumberFormat="1" applyFont="1" applyFill="1" applyBorder="1" applyAlignment="1" applyProtection="1">
      <alignment vertical="center"/>
    </xf>
    <xf numFmtId="165" fontId="6" fillId="0" borderId="17" xfId="1" applyFont="1" applyFill="1" applyBorder="1" applyAlignment="1" applyProtection="1">
      <alignment vertical="center"/>
    </xf>
    <xf numFmtId="165" fontId="6" fillId="4" borderId="4" xfId="1" applyFont="1" applyFill="1" applyBorder="1" applyAlignment="1" applyProtection="1">
      <alignment vertical="center"/>
    </xf>
    <xf numFmtId="0" fontId="14" fillId="7" borderId="3" xfId="0" applyFont="1" applyFill="1" applyBorder="1" applyAlignment="1">
      <alignment horizontal="center" vertical="center" wrapText="1"/>
    </xf>
    <xf numFmtId="43" fontId="15" fillId="7" borderId="3" xfId="0" applyNumberFormat="1" applyFont="1" applyFill="1" applyBorder="1" applyAlignment="1">
      <alignment horizontal="left" vertical="center" wrapText="1"/>
    </xf>
    <xf numFmtId="43" fontId="3" fillId="0" borderId="3" xfId="0" applyNumberFormat="1" applyFont="1" applyBorder="1" applyAlignment="1"/>
    <xf numFmtId="43" fontId="0" fillId="0" borderId="3" xfId="0" applyNumberFormat="1" applyBorder="1"/>
    <xf numFmtId="171" fontId="28" fillId="0" borderId="0" xfId="11" applyNumberFormat="1" applyFont="1"/>
    <xf numFmtId="0" fontId="5" fillId="3" borderId="1" xfId="2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19" fillId="7" borderId="4" xfId="0" applyFont="1" applyFill="1" applyBorder="1" applyAlignment="1">
      <alignment horizontal="center" vertical="center" wrapText="1"/>
    </xf>
    <xf numFmtId="0" fontId="19" fillId="7" borderId="15" xfId="0" applyFont="1" applyFill="1" applyBorder="1" applyAlignment="1">
      <alignment horizontal="center" vertical="center" wrapText="1"/>
    </xf>
    <xf numFmtId="0" fontId="19" fillId="7" borderId="16" xfId="0" applyFont="1" applyFill="1" applyBorder="1" applyAlignment="1">
      <alignment horizontal="center" vertical="center" wrapText="1"/>
    </xf>
    <xf numFmtId="0" fontId="19" fillId="7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0" fillId="7" borderId="3" xfId="0" applyFont="1" applyFill="1" applyBorder="1" applyAlignment="1">
      <alignment horizontal="left" vertical="center" wrapText="1"/>
    </xf>
    <xf numFmtId="165" fontId="20" fillId="7" borderId="3" xfId="0" applyNumberFormat="1" applyFont="1" applyFill="1" applyBorder="1" applyAlignment="1">
      <alignment horizontal="left" vertical="center" wrapText="1"/>
    </xf>
    <xf numFmtId="43" fontId="20" fillId="7" borderId="3" xfId="0" applyNumberFormat="1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165" fontId="20" fillId="7" borderId="3" xfId="0" applyNumberFormat="1" applyFont="1" applyFill="1" applyBorder="1" applyAlignment="1">
      <alignment horizontal="center" vertical="center" wrapText="1"/>
    </xf>
    <xf numFmtId="165" fontId="20" fillId="7" borderId="4" xfId="0" applyNumberFormat="1" applyFont="1" applyFill="1" applyBorder="1" applyAlignment="1">
      <alignment horizontal="center" vertical="center" wrapText="1"/>
    </xf>
    <xf numFmtId="165" fontId="20" fillId="7" borderId="16" xfId="0" applyNumberFormat="1" applyFont="1" applyFill="1" applyBorder="1" applyAlignment="1">
      <alignment horizontal="center" vertical="center" wrapText="1"/>
    </xf>
    <xf numFmtId="0" fontId="20" fillId="7" borderId="13" xfId="0" applyFont="1" applyFill="1" applyBorder="1" applyAlignment="1">
      <alignment horizontal="center" vertical="center" wrapText="1"/>
    </xf>
    <xf numFmtId="0" fontId="20" fillId="7" borderId="42" xfId="0" applyFont="1" applyFill="1" applyBorder="1" applyAlignment="1">
      <alignment horizontal="center" vertical="center" wrapText="1"/>
    </xf>
    <xf numFmtId="0" fontId="20" fillId="7" borderId="8" xfId="0" applyFont="1" applyFill="1" applyBorder="1" applyAlignment="1">
      <alignment horizontal="center" vertical="center" wrapText="1"/>
    </xf>
    <xf numFmtId="0" fontId="20" fillId="7" borderId="4" xfId="0" applyFont="1" applyFill="1" applyBorder="1" applyAlignment="1">
      <alignment horizontal="center" vertical="center" wrapText="1"/>
    </xf>
    <xf numFmtId="0" fontId="20" fillId="7" borderId="16" xfId="0" applyFont="1" applyFill="1" applyBorder="1" applyAlignment="1">
      <alignment horizontal="center" vertical="center" wrapText="1"/>
    </xf>
    <xf numFmtId="0" fontId="5" fillId="3" borderId="3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left" vertical="center" wrapText="1"/>
    </xf>
    <xf numFmtId="0" fontId="5" fillId="0" borderId="4" xfId="2" applyFont="1" applyFill="1" applyBorder="1" applyAlignment="1">
      <alignment horizontal="left" vertical="center" wrapText="1"/>
    </xf>
    <xf numFmtId="0" fontId="5" fillId="0" borderId="15" xfId="2" applyFont="1" applyFill="1" applyBorder="1" applyAlignment="1">
      <alignment horizontal="left" vertical="center" wrapText="1"/>
    </xf>
    <xf numFmtId="0" fontId="5" fillId="0" borderId="16" xfId="2" applyFont="1" applyFill="1" applyBorder="1" applyAlignment="1">
      <alignment horizontal="left" vertical="center" wrapText="1"/>
    </xf>
    <xf numFmtId="0" fontId="7" fillId="0" borderId="4" xfId="2" applyFont="1" applyFill="1" applyBorder="1" applyAlignment="1">
      <alignment horizontal="center" vertical="center"/>
    </xf>
    <xf numFmtId="0" fontId="7" fillId="0" borderId="15" xfId="2" applyFont="1" applyFill="1" applyBorder="1" applyAlignment="1">
      <alignment horizontal="center" vertical="center"/>
    </xf>
    <xf numFmtId="0" fontId="7" fillId="0" borderId="16" xfId="2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left" vertical="center"/>
    </xf>
    <xf numFmtId="0" fontId="7" fillId="0" borderId="15" xfId="2" applyFont="1" applyFill="1" applyBorder="1" applyAlignment="1">
      <alignment horizontal="left" vertical="center"/>
    </xf>
    <xf numFmtId="0" fontId="7" fillId="0" borderId="16" xfId="2" applyFont="1" applyFill="1" applyBorder="1" applyAlignment="1">
      <alignment horizontal="left" vertical="center"/>
    </xf>
    <xf numFmtId="14" fontId="5" fillId="0" borderId="4" xfId="2" applyNumberFormat="1" applyFont="1" applyFill="1" applyBorder="1" applyAlignment="1">
      <alignment horizontal="center" vertical="center"/>
    </xf>
    <xf numFmtId="14" fontId="5" fillId="0" borderId="15" xfId="2" applyNumberFormat="1" applyFont="1" applyFill="1" applyBorder="1" applyAlignment="1">
      <alignment horizontal="center" vertical="center"/>
    </xf>
    <xf numFmtId="14" fontId="5" fillId="0" borderId="16" xfId="2" applyNumberFormat="1" applyFont="1" applyFill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/>
    </xf>
    <xf numFmtId="0" fontId="5" fillId="3" borderId="15" xfId="2" applyFont="1" applyFill="1" applyBorder="1" applyAlignment="1">
      <alignment horizontal="center" vertical="center"/>
    </xf>
    <xf numFmtId="0" fontId="5" fillId="3" borderId="16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left" vertical="center" wrapText="1"/>
    </xf>
    <xf numFmtId="0" fontId="7" fillId="0" borderId="15" xfId="2" applyFont="1" applyFill="1" applyBorder="1" applyAlignment="1">
      <alignment horizontal="left" vertical="center" wrapText="1"/>
    </xf>
    <xf numFmtId="0" fontId="7" fillId="0" borderId="16" xfId="2" applyFont="1" applyFill="1" applyBorder="1" applyAlignment="1">
      <alignment horizontal="left" vertical="center" wrapText="1"/>
    </xf>
    <xf numFmtId="0" fontId="5" fillId="0" borderId="4" xfId="2" applyFont="1" applyFill="1" applyBorder="1" applyAlignment="1">
      <alignment horizontal="center" vertical="center"/>
    </xf>
    <xf numFmtId="0" fontId="5" fillId="0" borderId="15" xfId="2" applyFont="1" applyFill="1" applyBorder="1" applyAlignment="1">
      <alignment horizontal="center" vertical="center"/>
    </xf>
    <xf numFmtId="0" fontId="5" fillId="0" borderId="16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left" vertical="center"/>
    </xf>
    <xf numFmtId="165" fontId="2" fillId="0" borderId="3" xfId="1" applyFill="1" applyBorder="1" applyAlignment="1">
      <alignment horizontal="center" vertical="center" wrapText="1"/>
    </xf>
    <xf numFmtId="165" fontId="2" fillId="0" borderId="3" xfId="1" applyFill="1" applyBorder="1" applyAlignment="1">
      <alignment horizontal="center" vertical="center"/>
    </xf>
    <xf numFmtId="0" fontId="5" fillId="3" borderId="4" xfId="2" applyFont="1" applyFill="1" applyBorder="1" applyAlignment="1">
      <alignment horizontal="left" vertical="center"/>
    </xf>
    <xf numFmtId="0" fontId="5" fillId="3" borderId="15" xfId="2" applyFont="1" applyFill="1" applyBorder="1" applyAlignment="1">
      <alignment horizontal="left" vertical="center"/>
    </xf>
    <xf numFmtId="0" fontId="5" fillId="3" borderId="16" xfId="2" applyFont="1" applyFill="1" applyBorder="1" applyAlignment="1">
      <alignment horizontal="left" vertical="center"/>
    </xf>
    <xf numFmtId="0" fontId="5" fillId="0" borderId="3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left" vertical="center" wrapText="1"/>
    </xf>
    <xf numFmtId="14" fontId="7" fillId="0" borderId="3" xfId="2" applyNumberFormat="1" applyFont="1" applyFill="1" applyBorder="1" applyAlignment="1">
      <alignment horizontal="center" vertical="center"/>
    </xf>
    <xf numFmtId="0" fontId="14" fillId="0" borderId="17" xfId="2" applyFont="1" applyFill="1" applyBorder="1" applyAlignment="1">
      <alignment horizontal="center" vertical="center"/>
    </xf>
    <xf numFmtId="0" fontId="14" fillId="0" borderId="14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5" fillId="4" borderId="8" xfId="2" applyFont="1" applyFill="1" applyBorder="1" applyAlignment="1">
      <alignment horizontal="center" vertical="center"/>
    </xf>
    <xf numFmtId="0" fontId="5" fillId="4" borderId="1" xfId="2" applyFont="1" applyFill="1" applyBorder="1" applyAlignment="1">
      <alignment horizontal="center" vertical="center"/>
    </xf>
    <xf numFmtId="0" fontId="5" fillId="4" borderId="3" xfId="2" applyFont="1" applyFill="1" applyBorder="1" applyAlignment="1">
      <alignment horizontal="center" vertical="center"/>
    </xf>
    <xf numFmtId="0" fontId="5" fillId="4" borderId="4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 wrapText="1"/>
    </xf>
    <xf numFmtId="0" fontId="5" fillId="0" borderId="4" xfId="2" applyFont="1" applyFill="1" applyBorder="1" applyAlignment="1">
      <alignment horizontal="left" vertical="center"/>
    </xf>
    <xf numFmtId="0" fontId="5" fillId="0" borderId="15" xfId="2" applyFont="1" applyFill="1" applyBorder="1" applyAlignment="1">
      <alignment horizontal="left" vertical="center"/>
    </xf>
    <xf numFmtId="0" fontId="5" fillId="0" borderId="17" xfId="2" applyFont="1" applyFill="1" applyBorder="1" applyAlignment="1">
      <alignment horizontal="center" vertical="center"/>
    </xf>
    <xf numFmtId="0" fontId="5" fillId="0" borderId="14" xfId="2" applyFont="1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5" fillId="5" borderId="0" xfId="2" applyFont="1" applyFill="1" applyBorder="1" applyAlignment="1">
      <alignment horizontal="left" vertical="center" wrapText="1"/>
    </xf>
    <xf numFmtId="0" fontId="5" fillId="0" borderId="8" xfId="2" applyFont="1" applyFill="1" applyBorder="1" applyAlignment="1">
      <alignment horizontal="center" vertical="center"/>
    </xf>
    <xf numFmtId="0" fontId="35" fillId="0" borderId="4" xfId="2" applyFont="1" applyFill="1" applyBorder="1" applyAlignment="1">
      <alignment horizontal="left" vertical="center"/>
    </xf>
    <xf numFmtId="0" fontId="35" fillId="0" borderId="15" xfId="2" applyFont="1" applyFill="1" applyBorder="1" applyAlignment="1">
      <alignment horizontal="left" vertical="center"/>
    </xf>
    <xf numFmtId="0" fontId="35" fillId="0" borderId="16" xfId="2" applyFont="1" applyFill="1" applyBorder="1" applyAlignment="1">
      <alignment horizontal="left" vertical="center"/>
    </xf>
    <xf numFmtId="0" fontId="5" fillId="5" borderId="3" xfId="2" applyFont="1" applyFill="1" applyBorder="1" applyAlignment="1">
      <alignment horizontal="center" vertical="center"/>
    </xf>
    <xf numFmtId="0" fontId="5" fillId="5" borderId="17" xfId="2" applyFont="1" applyFill="1" applyBorder="1" applyAlignment="1">
      <alignment horizontal="center" vertical="center"/>
    </xf>
    <xf numFmtId="0" fontId="5" fillId="5" borderId="14" xfId="2" applyFont="1" applyFill="1" applyBorder="1" applyAlignment="1">
      <alignment horizontal="center" vertical="center"/>
    </xf>
    <xf numFmtId="0" fontId="5" fillId="4" borderId="15" xfId="2" applyFont="1" applyFill="1" applyBorder="1" applyAlignment="1">
      <alignment horizontal="center" vertical="center"/>
    </xf>
    <xf numFmtId="0" fontId="5" fillId="5" borderId="3" xfId="2" applyFont="1" applyFill="1" applyBorder="1" applyAlignment="1">
      <alignment horizontal="left" vertical="center"/>
    </xf>
    <xf numFmtId="0" fontId="5" fillId="5" borderId="4" xfId="2" applyFont="1" applyFill="1" applyBorder="1" applyAlignment="1">
      <alignment horizontal="left" vertical="center"/>
    </xf>
    <xf numFmtId="0" fontId="5" fillId="5" borderId="4" xfId="2" applyFont="1" applyFill="1" applyBorder="1" applyAlignment="1">
      <alignment horizontal="center" vertical="center"/>
    </xf>
    <xf numFmtId="0" fontId="5" fillId="5" borderId="15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 wrapText="1"/>
    </xf>
    <xf numFmtId="0" fontId="5" fillId="6" borderId="4" xfId="2" applyFont="1" applyFill="1" applyBorder="1" applyAlignment="1">
      <alignment horizontal="center" vertical="center"/>
    </xf>
    <xf numFmtId="0" fontId="5" fillId="6" borderId="15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left" vertical="center"/>
    </xf>
    <xf numFmtId="0" fontId="5" fillId="0" borderId="18" xfId="2" applyFont="1" applyFill="1" applyBorder="1" applyAlignment="1">
      <alignment horizontal="center" vertical="center"/>
    </xf>
    <xf numFmtId="0" fontId="7" fillId="0" borderId="17" xfId="2" applyFont="1" applyFill="1" applyBorder="1" applyAlignment="1">
      <alignment horizontal="center" vertical="center"/>
    </xf>
    <xf numFmtId="0" fontId="7" fillId="0" borderId="14" xfId="2" applyFont="1" applyFill="1" applyBorder="1" applyAlignment="1">
      <alignment horizontal="center" vertical="center"/>
    </xf>
    <xf numFmtId="0" fontId="7" fillId="0" borderId="19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5" fillId="0" borderId="19" xfId="2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vertical="center"/>
    </xf>
    <xf numFmtId="0" fontId="0" fillId="0" borderId="3" xfId="0" applyBorder="1" applyAlignment="1">
      <alignment horizontal="left"/>
    </xf>
    <xf numFmtId="0" fontId="5" fillId="0" borderId="3" xfId="2" applyFont="1" applyFill="1" applyBorder="1" applyAlignment="1">
      <alignment vertical="center"/>
    </xf>
    <xf numFmtId="0" fontId="7" fillId="0" borderId="3" xfId="2" applyFont="1" applyFill="1" applyBorder="1" applyAlignment="1">
      <alignment vertical="center"/>
    </xf>
    <xf numFmtId="0" fontId="7" fillId="0" borderId="4" xfId="2" applyFont="1" applyFill="1" applyBorder="1" applyAlignment="1">
      <alignment vertical="center" wrapText="1"/>
    </xf>
    <xf numFmtId="0" fontId="7" fillId="0" borderId="15" xfId="2" applyFont="1" applyFill="1" applyBorder="1" applyAlignment="1">
      <alignment vertical="center" wrapText="1"/>
    </xf>
    <xf numFmtId="0" fontId="7" fillId="0" borderId="16" xfId="2" applyFont="1" applyFill="1" applyBorder="1" applyAlignment="1">
      <alignment vertical="center" wrapText="1"/>
    </xf>
    <xf numFmtId="0" fontId="5" fillId="4" borderId="16" xfId="2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7" fontId="5" fillId="3" borderId="20" xfId="2" applyNumberFormat="1" applyFont="1" applyFill="1" applyBorder="1" applyAlignment="1">
      <alignment horizontal="center" vertical="center"/>
    </xf>
    <xf numFmtId="167" fontId="5" fillId="3" borderId="22" xfId="2" applyNumberFormat="1" applyFont="1" applyFill="1" applyBorder="1" applyAlignment="1">
      <alignment horizontal="center" vertical="center"/>
    </xf>
    <xf numFmtId="167" fontId="5" fillId="3" borderId="21" xfId="2" applyNumberFormat="1" applyFont="1" applyFill="1" applyBorder="1" applyAlignment="1">
      <alignment horizontal="center" vertical="center"/>
    </xf>
    <xf numFmtId="0" fontId="5" fillId="0" borderId="20" xfId="2" applyFont="1" applyFill="1" applyBorder="1" applyAlignment="1">
      <alignment horizontal="center" vertical="center"/>
    </xf>
    <xf numFmtId="0" fontId="5" fillId="0" borderId="22" xfId="2" applyFont="1" applyFill="1" applyBorder="1" applyAlignment="1">
      <alignment horizontal="center" vertical="center"/>
    </xf>
    <xf numFmtId="0" fontId="5" fillId="0" borderId="21" xfId="2" applyFont="1" applyFill="1" applyBorder="1" applyAlignment="1">
      <alignment horizontal="center" vertical="center"/>
    </xf>
    <xf numFmtId="0" fontId="5" fillId="0" borderId="22" xfId="2" applyFont="1" applyFill="1" applyBorder="1" applyAlignment="1">
      <alignment horizontal="left" vertical="center"/>
    </xf>
    <xf numFmtId="0" fontId="5" fillId="3" borderId="20" xfId="2" applyFont="1" applyFill="1" applyBorder="1" applyAlignment="1">
      <alignment horizontal="center" vertical="center"/>
    </xf>
    <xf numFmtId="0" fontId="5" fillId="3" borderId="22" xfId="2" applyFont="1" applyFill="1" applyBorder="1" applyAlignment="1">
      <alignment horizontal="center" vertical="center"/>
    </xf>
    <xf numFmtId="0" fontId="5" fillId="3" borderId="21" xfId="2" applyFont="1" applyFill="1" applyBorder="1" applyAlignment="1">
      <alignment horizontal="center" vertical="center"/>
    </xf>
    <xf numFmtId="14" fontId="5" fillId="0" borderId="20" xfId="2" applyNumberFormat="1" applyFont="1" applyFill="1" applyBorder="1" applyAlignment="1">
      <alignment horizontal="center" vertical="center"/>
    </xf>
    <xf numFmtId="14" fontId="5" fillId="0" borderId="22" xfId="2" applyNumberFormat="1" applyFont="1" applyFill="1" applyBorder="1" applyAlignment="1">
      <alignment horizontal="center" vertical="center"/>
    </xf>
    <xf numFmtId="14" fontId="5" fillId="0" borderId="21" xfId="2" applyNumberFormat="1" applyFont="1" applyFill="1" applyBorder="1" applyAlignment="1">
      <alignment horizontal="center" vertical="center"/>
    </xf>
    <xf numFmtId="0" fontId="32" fillId="0" borderId="22" xfId="2" applyFont="1" applyFill="1" applyBorder="1" applyAlignment="1">
      <alignment horizontal="center" vertical="center" wrapText="1"/>
    </xf>
    <xf numFmtId="0" fontId="31" fillId="0" borderId="22" xfId="2" applyFont="1" applyFill="1" applyBorder="1" applyAlignment="1">
      <alignment horizontal="center" vertical="center"/>
    </xf>
    <xf numFmtId="0" fontId="5" fillId="0" borderId="20" xfId="2" applyFont="1" applyFill="1" applyBorder="1" applyAlignment="1">
      <alignment horizontal="left" vertical="center"/>
    </xf>
    <xf numFmtId="0" fontId="5" fillId="0" borderId="21" xfId="2" applyFont="1" applyFill="1" applyBorder="1" applyAlignment="1">
      <alignment horizontal="left" vertical="center"/>
    </xf>
    <xf numFmtId="165" fontId="5" fillId="0" borderId="20" xfId="1" applyFont="1" applyFill="1" applyBorder="1" applyAlignment="1" applyProtection="1">
      <alignment horizontal="center" vertical="center"/>
    </xf>
    <xf numFmtId="165" fontId="5" fillId="0" borderId="22" xfId="1" applyFont="1" applyFill="1" applyBorder="1" applyAlignment="1" applyProtection="1">
      <alignment horizontal="center" vertical="center"/>
    </xf>
    <xf numFmtId="165" fontId="5" fillId="0" borderId="21" xfId="1" applyFont="1" applyFill="1" applyBorder="1" applyAlignment="1" applyProtection="1">
      <alignment horizontal="center" vertical="center"/>
    </xf>
    <xf numFmtId="0" fontId="5" fillId="0" borderId="30" xfId="2" applyFont="1" applyFill="1" applyBorder="1" applyAlignment="1">
      <alignment horizontal="center" vertical="center"/>
    </xf>
    <xf numFmtId="0" fontId="5" fillId="0" borderId="29" xfId="2" applyFont="1" applyFill="1" applyBorder="1" applyAlignment="1">
      <alignment horizontal="center" vertical="center"/>
    </xf>
    <xf numFmtId="0" fontId="5" fillId="0" borderId="28" xfId="2" applyFont="1" applyFill="1" applyBorder="1" applyAlignment="1">
      <alignment horizontal="center" vertical="center"/>
    </xf>
    <xf numFmtId="0" fontId="5" fillId="0" borderId="25" xfId="2" applyFont="1" applyFill="1" applyBorder="1" applyAlignment="1">
      <alignment horizontal="center" vertical="center"/>
    </xf>
    <xf numFmtId="0" fontId="5" fillId="0" borderId="26" xfId="2" applyFont="1" applyFill="1" applyBorder="1" applyAlignment="1">
      <alignment horizontal="center" vertical="center"/>
    </xf>
    <xf numFmtId="0" fontId="5" fillId="0" borderId="24" xfId="2" applyFont="1" applyFill="1" applyBorder="1" applyAlignment="1">
      <alignment horizontal="center" vertical="center"/>
    </xf>
    <xf numFmtId="0" fontId="5" fillId="0" borderId="31" xfId="2" applyFont="1" applyFill="1" applyBorder="1" applyAlignment="1">
      <alignment horizontal="center" vertical="center"/>
    </xf>
    <xf numFmtId="0" fontId="5" fillId="0" borderId="27" xfId="2" applyFont="1" applyFill="1" applyBorder="1" applyAlignment="1">
      <alignment horizontal="center" vertical="center"/>
    </xf>
    <xf numFmtId="165" fontId="17" fillId="0" borderId="20" xfId="0" applyNumberFormat="1" applyFont="1" applyFill="1" applyBorder="1" applyAlignment="1">
      <alignment horizontal="center" vertical="center"/>
    </xf>
    <xf numFmtId="165" fontId="17" fillId="0" borderId="22" xfId="0" applyNumberFormat="1" applyFont="1" applyFill="1" applyBorder="1" applyAlignment="1">
      <alignment horizontal="center" vertical="center"/>
    </xf>
    <xf numFmtId="165" fontId="17" fillId="0" borderId="21" xfId="0" applyNumberFormat="1" applyFont="1" applyFill="1" applyBorder="1" applyAlignment="1">
      <alignment horizontal="center" vertical="center"/>
    </xf>
    <xf numFmtId="10" fontId="7" fillId="0" borderId="20" xfId="4" applyNumberFormat="1" applyFont="1" applyFill="1" applyBorder="1" applyAlignment="1" applyProtection="1">
      <alignment horizontal="right" vertical="center"/>
    </xf>
    <xf numFmtId="10" fontId="7" fillId="0" borderId="21" xfId="4" applyNumberFormat="1" applyFont="1" applyFill="1" applyBorder="1" applyAlignment="1" applyProtection="1">
      <alignment horizontal="right" vertical="center"/>
    </xf>
    <xf numFmtId="0" fontId="7" fillId="0" borderId="20" xfId="2" applyFont="1" applyFill="1" applyBorder="1" applyAlignment="1">
      <alignment horizontal="left" vertical="center"/>
    </xf>
    <xf numFmtId="0" fontId="7" fillId="0" borderId="22" xfId="2" applyFont="1" applyFill="1" applyBorder="1" applyAlignment="1">
      <alignment horizontal="left" vertical="center"/>
    </xf>
    <xf numFmtId="0" fontId="7" fillId="0" borderId="21" xfId="2" applyFont="1" applyFill="1" applyBorder="1" applyAlignment="1">
      <alignment horizontal="left" vertical="center"/>
    </xf>
    <xf numFmtId="10" fontId="9" fillId="0" borderId="20" xfId="4" applyNumberFormat="1" applyFont="1" applyFill="1" applyBorder="1" applyAlignment="1">
      <alignment horizontal="right" vertical="center"/>
    </xf>
    <xf numFmtId="10" fontId="9" fillId="0" borderId="21" xfId="4" applyNumberFormat="1" applyFont="1" applyFill="1" applyBorder="1" applyAlignment="1">
      <alignment horizontal="right" vertical="center"/>
    </xf>
    <xf numFmtId="164" fontId="5" fillId="0" borderId="20" xfId="3" applyFont="1" applyFill="1" applyBorder="1" applyAlignment="1" applyProtection="1">
      <alignment horizontal="center" vertical="center"/>
    </xf>
    <xf numFmtId="164" fontId="5" fillId="0" borderId="21" xfId="3" applyFont="1" applyFill="1" applyBorder="1" applyAlignment="1" applyProtection="1">
      <alignment horizontal="center" vertical="center"/>
    </xf>
    <xf numFmtId="0" fontId="7" fillId="0" borderId="40" xfId="2" applyFont="1" applyFill="1" applyBorder="1" applyAlignment="1">
      <alignment horizontal="left" vertical="center"/>
    </xf>
    <xf numFmtId="0" fontId="7" fillId="0" borderId="39" xfId="2" applyFont="1" applyFill="1" applyBorder="1" applyAlignment="1">
      <alignment horizontal="left" vertical="center"/>
    </xf>
    <xf numFmtId="0" fontId="7" fillId="0" borderId="38" xfId="2" applyFont="1" applyFill="1" applyBorder="1" applyAlignment="1">
      <alignment horizontal="left" vertical="center"/>
    </xf>
    <xf numFmtId="0" fontId="5" fillId="0" borderId="37" xfId="2" applyFont="1" applyFill="1" applyBorder="1" applyAlignment="1">
      <alignment horizontal="center" vertical="center"/>
    </xf>
    <xf numFmtId="0" fontId="5" fillId="0" borderId="36" xfId="2" applyFont="1" applyFill="1" applyBorder="1" applyAlignment="1">
      <alignment horizontal="center" vertical="center"/>
    </xf>
    <xf numFmtId="0" fontId="5" fillId="0" borderId="35" xfId="2" applyFont="1" applyFill="1" applyBorder="1" applyAlignment="1">
      <alignment horizontal="center" vertical="center"/>
    </xf>
    <xf numFmtId="165" fontId="17" fillId="0" borderId="20" xfId="3" applyNumberFormat="1" applyFont="1" applyFill="1" applyBorder="1" applyAlignment="1" applyProtection="1">
      <alignment horizontal="center" vertical="center"/>
    </xf>
    <xf numFmtId="165" fontId="17" fillId="0" borderId="22" xfId="3" applyNumberFormat="1" applyFont="1" applyFill="1" applyBorder="1" applyAlignment="1" applyProtection="1">
      <alignment horizontal="center" vertical="center"/>
    </xf>
    <xf numFmtId="165" fontId="17" fillId="0" borderId="21" xfId="3" applyNumberFormat="1" applyFont="1" applyFill="1" applyBorder="1" applyAlignment="1" applyProtection="1">
      <alignment horizontal="center" vertical="center"/>
    </xf>
    <xf numFmtId="165" fontId="7" fillId="0" borderId="20" xfId="3" applyNumberFormat="1" applyFont="1" applyFill="1" applyBorder="1" applyAlignment="1" applyProtection="1">
      <alignment horizontal="center" vertical="center"/>
    </xf>
    <xf numFmtId="165" fontId="7" fillId="0" borderId="22" xfId="3" applyNumberFormat="1" applyFont="1" applyFill="1" applyBorder="1" applyAlignment="1" applyProtection="1">
      <alignment horizontal="center" vertical="center"/>
    </xf>
    <xf numFmtId="165" fontId="7" fillId="0" borderId="21" xfId="3" applyNumberFormat="1" applyFont="1" applyFill="1" applyBorder="1" applyAlignment="1" applyProtection="1">
      <alignment horizontal="center" vertical="center"/>
    </xf>
    <xf numFmtId="165" fontId="5" fillId="0" borderId="20" xfId="3" applyNumberFormat="1" applyFont="1" applyFill="1" applyBorder="1" applyAlignment="1" applyProtection="1">
      <alignment horizontal="center" vertical="center"/>
    </xf>
    <xf numFmtId="165" fontId="5" fillId="0" borderId="22" xfId="3" applyNumberFormat="1" applyFont="1" applyFill="1" applyBorder="1" applyAlignment="1" applyProtection="1">
      <alignment horizontal="center" vertical="center"/>
    </xf>
    <xf numFmtId="165" fontId="5" fillId="0" borderId="21" xfId="3" applyNumberFormat="1" applyFont="1" applyFill="1" applyBorder="1" applyAlignment="1" applyProtection="1">
      <alignment horizontal="center" vertical="center"/>
    </xf>
    <xf numFmtId="0" fontId="18" fillId="0" borderId="20" xfId="2" applyFont="1" applyFill="1" applyBorder="1" applyAlignment="1">
      <alignment horizontal="left" vertical="center"/>
    </xf>
    <xf numFmtId="0" fontId="18" fillId="0" borderId="22" xfId="2" applyFont="1" applyFill="1" applyBorder="1" applyAlignment="1">
      <alignment horizontal="left" vertical="center"/>
    </xf>
    <xf numFmtId="0" fontId="18" fillId="0" borderId="21" xfId="2" applyFont="1" applyFill="1" applyBorder="1" applyAlignment="1">
      <alignment horizontal="left" vertical="center"/>
    </xf>
    <xf numFmtId="0" fontId="5" fillId="3" borderId="20" xfId="2" applyFont="1" applyFill="1" applyBorder="1" applyAlignment="1">
      <alignment horizontal="left" vertical="center"/>
    </xf>
    <xf numFmtId="0" fontId="5" fillId="3" borderId="22" xfId="2" applyFont="1" applyFill="1" applyBorder="1" applyAlignment="1">
      <alignment horizontal="left" vertical="center"/>
    </xf>
    <xf numFmtId="0" fontId="5" fillId="3" borderId="21" xfId="2" applyFont="1" applyFill="1" applyBorder="1" applyAlignment="1">
      <alignment horizontal="left" vertical="center"/>
    </xf>
    <xf numFmtId="165" fontId="9" fillId="0" borderId="20" xfId="1" applyFont="1" applyFill="1" applyBorder="1" applyAlignment="1" applyProtection="1">
      <alignment horizontal="center" vertical="center"/>
    </xf>
    <xf numFmtId="165" fontId="9" fillId="0" borderId="22" xfId="1" applyFont="1" applyFill="1" applyBorder="1" applyAlignment="1" applyProtection="1">
      <alignment horizontal="center" vertical="center"/>
    </xf>
    <xf numFmtId="165" fontId="9" fillId="0" borderId="21" xfId="1" applyFont="1" applyFill="1" applyBorder="1" applyAlignment="1" applyProtection="1">
      <alignment horizontal="center" vertical="center"/>
    </xf>
    <xf numFmtId="165" fontId="7" fillId="0" borderId="0" xfId="3" applyNumberFormat="1" applyFont="1" applyFill="1" applyBorder="1" applyAlignment="1" applyProtection="1">
      <alignment horizontal="center" vertical="center"/>
    </xf>
    <xf numFmtId="165" fontId="7" fillId="0" borderId="32" xfId="3" applyNumberFormat="1" applyFont="1" applyFill="1" applyBorder="1" applyAlignment="1" applyProtection="1">
      <alignment horizontal="center" vertical="center"/>
    </xf>
    <xf numFmtId="165" fontId="9" fillId="0" borderId="20" xfId="4" applyNumberFormat="1" applyFont="1" applyFill="1" applyBorder="1" applyAlignment="1" applyProtection="1">
      <alignment horizontal="center" vertical="center"/>
    </xf>
    <xf numFmtId="165" fontId="9" fillId="0" borderId="22" xfId="4" applyNumberFormat="1" applyFont="1" applyFill="1" applyBorder="1" applyAlignment="1" applyProtection="1">
      <alignment horizontal="center" vertical="center"/>
    </xf>
    <xf numFmtId="165" fontId="9" fillId="0" borderId="21" xfId="4" applyNumberFormat="1" applyFont="1" applyFill="1" applyBorder="1" applyAlignment="1" applyProtection="1">
      <alignment horizontal="center" vertical="center"/>
    </xf>
    <xf numFmtId="165" fontId="3" fillId="3" borderId="20" xfId="1" applyFont="1" applyFill="1" applyBorder="1" applyAlignment="1" applyProtection="1">
      <alignment horizontal="center" vertical="center"/>
    </xf>
    <xf numFmtId="165" fontId="3" fillId="3" borderId="22" xfId="1" applyFont="1" applyFill="1" applyBorder="1" applyAlignment="1" applyProtection="1">
      <alignment horizontal="center" vertical="center"/>
    </xf>
    <xf numFmtId="165" fontId="3" fillId="3" borderId="21" xfId="1" applyFont="1" applyFill="1" applyBorder="1" applyAlignment="1" applyProtection="1">
      <alignment horizontal="center" vertical="center"/>
    </xf>
    <xf numFmtId="166" fontId="7" fillId="0" borderId="20" xfId="4" applyNumberFormat="1" applyFont="1" applyFill="1" applyBorder="1" applyAlignment="1" applyProtection="1">
      <alignment horizontal="right" vertical="center"/>
    </xf>
    <xf numFmtId="166" fontId="7" fillId="0" borderId="21" xfId="4" applyNumberFormat="1" applyFont="1" applyFill="1" applyBorder="1" applyAlignment="1" applyProtection="1">
      <alignment horizontal="right" vertical="center"/>
    </xf>
    <xf numFmtId="10" fontId="18" fillId="0" borderId="20" xfId="4" applyNumberFormat="1" applyFont="1" applyFill="1" applyBorder="1" applyAlignment="1" applyProtection="1">
      <alignment horizontal="right" vertical="center"/>
    </xf>
    <xf numFmtId="10" fontId="18" fillId="0" borderId="21" xfId="4" applyNumberFormat="1" applyFont="1" applyFill="1" applyBorder="1" applyAlignment="1" applyProtection="1">
      <alignment horizontal="right" vertical="center"/>
    </xf>
    <xf numFmtId="10" fontId="7" fillId="0" borderId="20" xfId="4" applyNumberFormat="1" applyFont="1" applyFill="1" applyBorder="1" applyAlignment="1" applyProtection="1">
      <alignment horizontal="center" vertical="center"/>
    </xf>
    <xf numFmtId="10" fontId="7" fillId="0" borderId="21" xfId="4" applyNumberFormat="1" applyFont="1" applyFill="1" applyBorder="1" applyAlignment="1" applyProtection="1">
      <alignment horizontal="center" vertical="center"/>
    </xf>
    <xf numFmtId="0" fontId="7" fillId="0" borderId="20" xfId="2" applyFont="1" applyFill="1" applyBorder="1" applyAlignment="1">
      <alignment horizontal="center" vertical="center"/>
    </xf>
    <xf numFmtId="0" fontId="7" fillId="0" borderId="22" xfId="2" applyFont="1" applyFill="1" applyBorder="1" applyAlignment="1">
      <alignment horizontal="center" vertical="center"/>
    </xf>
    <xf numFmtId="0" fontId="7" fillId="0" borderId="21" xfId="2" applyFont="1" applyFill="1" applyBorder="1" applyAlignment="1">
      <alignment horizontal="center" vertical="center"/>
    </xf>
    <xf numFmtId="165" fontId="5" fillId="3" borderId="20" xfId="2" applyNumberFormat="1" applyFont="1" applyFill="1" applyBorder="1" applyAlignment="1">
      <alignment horizontal="center" vertical="center"/>
    </xf>
    <xf numFmtId="165" fontId="5" fillId="3" borderId="22" xfId="2" applyNumberFormat="1" applyFont="1" applyFill="1" applyBorder="1" applyAlignment="1">
      <alignment horizontal="center" vertical="center"/>
    </xf>
    <xf numFmtId="165" fontId="5" fillId="3" borderId="21" xfId="2" applyNumberFormat="1" applyFont="1" applyFill="1" applyBorder="1" applyAlignment="1">
      <alignment horizontal="center" vertical="center"/>
    </xf>
    <xf numFmtId="164" fontId="5" fillId="0" borderId="22" xfId="3" applyFont="1" applyFill="1" applyBorder="1" applyAlignment="1" applyProtection="1">
      <alignment horizontal="center" vertical="center"/>
    </xf>
    <xf numFmtId="165" fontId="7" fillId="0" borderId="29" xfId="3" applyNumberFormat="1" applyFont="1" applyFill="1" applyBorder="1" applyAlignment="1" applyProtection="1">
      <alignment horizontal="center" vertical="center"/>
    </xf>
    <xf numFmtId="165" fontId="7" fillId="0" borderId="28" xfId="3" applyNumberFormat="1" applyFont="1" applyFill="1" applyBorder="1" applyAlignment="1" applyProtection="1">
      <alignment horizontal="center" vertical="center"/>
    </xf>
    <xf numFmtId="165" fontId="5" fillId="0" borderId="3" xfId="3" applyNumberFormat="1" applyFont="1" applyFill="1" applyBorder="1" applyAlignment="1" applyProtection="1">
      <alignment horizontal="center" vertical="center"/>
    </xf>
    <xf numFmtId="165" fontId="7" fillId="0" borderId="25" xfId="3" applyNumberFormat="1" applyFont="1" applyFill="1" applyBorder="1" applyAlignment="1" applyProtection="1">
      <alignment horizontal="center" vertical="center"/>
    </xf>
    <xf numFmtId="165" fontId="7" fillId="0" borderId="24" xfId="3" applyNumberFormat="1" applyFont="1" applyFill="1" applyBorder="1" applyAlignment="1" applyProtection="1">
      <alignment horizontal="center" vertical="center"/>
    </xf>
    <xf numFmtId="165" fontId="2" fillId="0" borderId="4" xfId="1" applyFill="1" applyBorder="1" applyAlignment="1">
      <alignment horizontal="center" vertical="center"/>
    </xf>
    <xf numFmtId="165" fontId="2" fillId="0" borderId="15" xfId="1" applyFill="1" applyBorder="1" applyAlignment="1">
      <alignment horizontal="center" vertical="center"/>
    </xf>
    <xf numFmtId="165" fontId="2" fillId="0" borderId="16" xfId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32" fillId="0" borderId="3" xfId="2" applyFont="1" applyFill="1" applyBorder="1" applyAlignment="1">
      <alignment horizontal="center" vertical="center"/>
    </xf>
    <xf numFmtId="0" fontId="5" fillId="0" borderId="26" xfId="2" applyFont="1" applyFill="1" applyBorder="1" applyAlignment="1">
      <alignment horizontal="left" vertical="center"/>
    </xf>
    <xf numFmtId="0" fontId="5" fillId="0" borderId="23" xfId="2" applyFont="1" applyFill="1" applyBorder="1" applyAlignment="1">
      <alignment horizontal="center" vertical="center"/>
    </xf>
    <xf numFmtId="0" fontId="5" fillId="3" borderId="23" xfId="2" applyFont="1" applyFill="1" applyBorder="1" applyAlignment="1">
      <alignment horizontal="center" vertical="center"/>
    </xf>
    <xf numFmtId="14" fontId="5" fillId="0" borderId="23" xfId="2" applyNumberFormat="1" applyFont="1" applyFill="1" applyBorder="1" applyAlignment="1">
      <alignment horizontal="center" vertical="center"/>
    </xf>
    <xf numFmtId="0" fontId="5" fillId="0" borderId="23" xfId="2" applyFont="1" applyFill="1" applyBorder="1" applyAlignment="1">
      <alignment horizontal="left" vertical="center"/>
    </xf>
    <xf numFmtId="167" fontId="5" fillId="3" borderId="23" xfId="2" applyNumberFormat="1" applyFont="1" applyFill="1" applyBorder="1" applyAlignment="1">
      <alignment horizontal="center" vertical="center"/>
    </xf>
    <xf numFmtId="165" fontId="5" fillId="0" borderId="23" xfId="1" applyFont="1" applyFill="1" applyBorder="1" applyAlignment="1" applyProtection="1">
      <alignment horizontal="center" vertical="center"/>
    </xf>
    <xf numFmtId="165" fontId="17" fillId="0" borderId="23" xfId="0" applyNumberFormat="1" applyFont="1" applyFill="1" applyBorder="1" applyAlignment="1">
      <alignment horizontal="center" vertical="center"/>
    </xf>
    <xf numFmtId="165" fontId="2" fillId="0" borderId="20" xfId="1" applyFill="1" applyBorder="1" applyAlignment="1" applyProtection="1">
      <alignment horizontal="center" vertical="center"/>
    </xf>
    <xf numFmtId="165" fontId="2" fillId="0" borderId="21" xfId="1" applyFill="1" applyBorder="1" applyAlignment="1" applyProtection="1">
      <alignment horizontal="center" vertical="center"/>
    </xf>
    <xf numFmtId="10" fontId="5" fillId="0" borderId="22" xfId="2" applyNumberFormat="1" applyFont="1" applyFill="1" applyBorder="1" applyAlignment="1">
      <alignment horizontal="center" vertical="center"/>
    </xf>
    <xf numFmtId="164" fontId="5" fillId="0" borderId="23" xfId="3" applyFont="1" applyFill="1" applyBorder="1" applyAlignment="1" applyProtection="1">
      <alignment horizontal="center" vertical="center"/>
    </xf>
    <xf numFmtId="165" fontId="17" fillId="0" borderId="23" xfId="3" applyNumberFormat="1" applyFont="1" applyFill="1" applyBorder="1" applyAlignment="1" applyProtection="1">
      <alignment horizontal="center" vertical="center"/>
    </xf>
    <xf numFmtId="165" fontId="7" fillId="0" borderId="23" xfId="3" applyNumberFormat="1" applyFont="1" applyFill="1" applyBorder="1" applyAlignment="1" applyProtection="1">
      <alignment horizontal="center" vertical="center"/>
    </xf>
    <xf numFmtId="165" fontId="5" fillId="0" borderId="23" xfId="3" applyNumberFormat="1" applyFont="1" applyFill="1" applyBorder="1" applyAlignment="1" applyProtection="1">
      <alignment horizontal="center" vertical="center"/>
    </xf>
    <xf numFmtId="0" fontId="5" fillId="3" borderId="23" xfId="2" applyFont="1" applyFill="1" applyBorder="1" applyAlignment="1">
      <alignment horizontal="left" vertical="center"/>
    </xf>
    <xf numFmtId="166" fontId="7" fillId="0" borderId="23" xfId="4" applyNumberFormat="1" applyFont="1" applyFill="1" applyBorder="1" applyAlignment="1" applyProtection="1">
      <alignment horizontal="right" vertical="center"/>
    </xf>
    <xf numFmtId="10" fontId="18" fillId="0" borderId="23" xfId="4" applyNumberFormat="1" applyFont="1" applyFill="1" applyBorder="1" applyAlignment="1" applyProtection="1">
      <alignment horizontal="right" vertical="center"/>
    </xf>
    <xf numFmtId="0" fontId="7" fillId="0" borderId="23" xfId="2" applyFont="1" applyFill="1" applyBorder="1" applyAlignment="1">
      <alignment horizontal="left" vertical="center"/>
    </xf>
    <xf numFmtId="10" fontId="9" fillId="0" borderId="22" xfId="4" applyNumberFormat="1" applyFont="1" applyFill="1" applyBorder="1" applyAlignment="1" applyProtection="1">
      <alignment horizontal="center" vertical="center"/>
    </xf>
    <xf numFmtId="10" fontId="9" fillId="0" borderId="21" xfId="4" applyNumberFormat="1" applyFont="1" applyFill="1" applyBorder="1" applyAlignment="1" applyProtection="1">
      <alignment horizontal="center" vertical="center"/>
    </xf>
    <xf numFmtId="0" fontId="32" fillId="0" borderId="3" xfId="2" applyFont="1" applyFill="1" applyBorder="1" applyAlignment="1">
      <alignment horizontal="center" vertical="center" wrapText="1"/>
    </xf>
    <xf numFmtId="165" fontId="5" fillId="3" borderId="20" xfId="3" applyNumberFormat="1" applyFont="1" applyFill="1" applyBorder="1" applyAlignment="1" applyProtection="1">
      <alignment horizontal="center" vertical="center"/>
    </xf>
    <xf numFmtId="165" fontId="5" fillId="3" borderId="21" xfId="3" applyNumberFormat="1" applyFont="1" applyFill="1" applyBorder="1" applyAlignment="1" applyProtection="1">
      <alignment horizontal="center" vertical="center"/>
    </xf>
    <xf numFmtId="165" fontId="7" fillId="0" borderId="3" xfId="3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24" fillId="0" borderId="3" xfId="2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2" borderId="0" xfId="6" applyFont="1" applyFill="1" applyBorder="1" applyAlignment="1">
      <alignment horizontal="center" vertical="center"/>
    </xf>
    <xf numFmtId="0" fontId="5" fillId="0" borderId="4" xfId="7" applyFont="1" applyFill="1" applyBorder="1" applyAlignment="1">
      <alignment horizontal="center" vertical="center"/>
    </xf>
    <xf numFmtId="0" fontId="5" fillId="0" borderId="15" xfId="7" applyFont="1" applyFill="1" applyBorder="1" applyAlignment="1">
      <alignment horizontal="center" vertical="center"/>
    </xf>
    <xf numFmtId="0" fontId="5" fillId="0" borderId="16" xfId="7" applyFont="1" applyFill="1" applyBorder="1" applyAlignment="1">
      <alignment horizontal="center" vertical="center"/>
    </xf>
    <xf numFmtId="0" fontId="7" fillId="0" borderId="4" xfId="7" applyFont="1" applyFill="1" applyBorder="1" applyAlignment="1">
      <alignment horizontal="left" vertical="center"/>
    </xf>
    <xf numFmtId="0" fontId="7" fillId="0" borderId="15" xfId="7" applyFont="1" applyFill="1" applyBorder="1" applyAlignment="1">
      <alignment horizontal="left" vertical="center"/>
    </xf>
    <xf numFmtId="0" fontId="7" fillId="0" borderId="16" xfId="7" applyFont="1" applyFill="1" applyBorder="1" applyAlignment="1">
      <alignment horizontal="left" vertical="center"/>
    </xf>
    <xf numFmtId="0" fontId="7" fillId="0" borderId="4" xfId="7" applyFont="1" applyFill="1" applyBorder="1" applyAlignment="1">
      <alignment horizontal="left" vertical="center" wrapText="1"/>
    </xf>
    <xf numFmtId="0" fontId="7" fillId="0" borderId="15" xfId="7" applyFont="1" applyFill="1" applyBorder="1" applyAlignment="1">
      <alignment horizontal="left" vertical="center" wrapText="1"/>
    </xf>
    <xf numFmtId="0" fontId="7" fillId="0" borderId="16" xfId="7" applyFont="1" applyFill="1" applyBorder="1" applyAlignment="1">
      <alignment horizontal="left" vertical="center" wrapText="1"/>
    </xf>
    <xf numFmtId="0" fontId="5" fillId="0" borderId="4" xfId="6" applyFont="1" applyFill="1" applyBorder="1" applyAlignment="1">
      <alignment horizontal="center" vertical="center"/>
    </xf>
    <xf numFmtId="0" fontId="5" fillId="0" borderId="15" xfId="6" applyFont="1" applyFill="1" applyBorder="1" applyAlignment="1">
      <alignment horizontal="center" vertical="center"/>
    </xf>
    <xf numFmtId="0" fontId="5" fillId="0" borderId="16" xfId="6" applyFont="1" applyFill="1" applyBorder="1" applyAlignment="1">
      <alignment horizontal="center" vertical="center"/>
    </xf>
    <xf numFmtId="0" fontId="24" fillId="0" borderId="4" xfId="7" applyFont="1" applyFill="1" applyBorder="1" applyAlignment="1">
      <alignment horizontal="left" vertical="center" wrapText="1"/>
    </xf>
    <xf numFmtId="0" fontId="24" fillId="0" borderId="15" xfId="7" applyFont="1" applyFill="1" applyBorder="1" applyAlignment="1">
      <alignment horizontal="left" vertical="center" wrapText="1"/>
    </xf>
    <xf numFmtId="0" fontId="24" fillId="0" borderId="16" xfId="7" applyFont="1" applyFill="1" applyBorder="1" applyAlignment="1">
      <alignment horizontal="left" vertical="center" wrapText="1"/>
    </xf>
    <xf numFmtId="0" fontId="5" fillId="0" borderId="4" xfId="7" applyFont="1" applyFill="1" applyBorder="1" applyAlignment="1">
      <alignment horizontal="left" vertical="center"/>
    </xf>
    <xf numFmtId="0" fontId="5" fillId="0" borderId="15" xfId="7" applyFont="1" applyFill="1" applyBorder="1" applyAlignment="1">
      <alignment horizontal="left" vertical="center"/>
    </xf>
    <xf numFmtId="0" fontId="5" fillId="0" borderId="16" xfId="7" applyFont="1" applyFill="1" applyBorder="1" applyAlignment="1">
      <alignment horizontal="left" vertical="center"/>
    </xf>
    <xf numFmtId="0" fontId="7" fillId="0" borderId="4" xfId="7" applyFont="1" applyFill="1" applyBorder="1" applyAlignment="1">
      <alignment horizontal="center" vertical="center"/>
    </xf>
    <xf numFmtId="0" fontId="7" fillId="0" borderId="15" xfId="7" applyFont="1" applyFill="1" applyBorder="1" applyAlignment="1">
      <alignment horizontal="center" vertical="center"/>
    </xf>
    <xf numFmtId="0" fontId="7" fillId="0" borderId="16" xfId="7" applyFont="1" applyFill="1" applyBorder="1" applyAlignment="1">
      <alignment horizontal="center" vertical="center"/>
    </xf>
    <xf numFmtId="0" fontId="6" fillId="0" borderId="4" xfId="6" applyFont="1" applyFill="1" applyBorder="1" applyAlignment="1">
      <alignment horizontal="center"/>
    </xf>
    <xf numFmtId="0" fontId="6" fillId="0" borderId="15" xfId="6" applyFont="1" applyFill="1" applyBorder="1" applyAlignment="1">
      <alignment horizontal="center"/>
    </xf>
    <xf numFmtId="0" fontId="6" fillId="0" borderId="16" xfId="6" applyFont="1" applyFill="1" applyBorder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left" wrapText="1"/>
    </xf>
    <xf numFmtId="0" fontId="35" fillId="0" borderId="3" xfId="2" applyFont="1" applyFill="1" applyBorder="1" applyAlignment="1">
      <alignment horizontal="left" vertical="center"/>
    </xf>
    <xf numFmtId="0" fontId="12" fillId="0" borderId="4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43" fontId="8" fillId="0" borderId="0" xfId="0" applyNumberFormat="1" applyFont="1"/>
    <xf numFmtId="0" fontId="19" fillId="7" borderId="3" xfId="0" applyFont="1" applyFill="1" applyBorder="1" applyAlignment="1">
      <alignment vertical="center" wrapText="1"/>
    </xf>
  </cellXfs>
  <cellStyles count="12">
    <cellStyle name="Moeda" xfId="1" builtinId="4"/>
    <cellStyle name="Moeda 3" xfId="9" xr:uid="{FC792E6C-97F4-40D7-92DC-20C5C396D862}"/>
    <cellStyle name="Moeda 4" xfId="10" xr:uid="{3AD3080A-6BE5-4E7A-9561-AA6B441C69C6}"/>
    <cellStyle name="Normal" xfId="0" builtinId="0"/>
    <cellStyle name="Normal 2" xfId="2" xr:uid="{00000000-0005-0000-0000-000002000000}"/>
    <cellStyle name="Normal 2 2" xfId="7" xr:uid="{09E63A30-D4AF-4EB4-8438-10F477B7EB91}"/>
    <cellStyle name="Normal 2 2 2" xfId="6" xr:uid="{DFEF6684-1AC6-4ED9-A076-72C3E160966E}"/>
    <cellStyle name="Porcentagem" xfId="5" builtinId="5"/>
    <cellStyle name="Porcentagem 2" xfId="4" xr:uid="{00000000-0005-0000-0000-000004000000}"/>
    <cellStyle name="Porcentagem 3" xfId="8" xr:uid="{DDAE97F3-9349-494A-A4CC-C1E873C44900}"/>
    <cellStyle name="Separador de milhares 2" xfId="3" xr:uid="{00000000-0005-0000-0000-000005000000}"/>
    <cellStyle name="Vírgula" xfId="1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verton/Documents/Nova%20Contrata&#231;&#227;o%20de%20Vigil&#234;ncia%20Armada%202023/Plan.%20de%20Cust.%20%20-%20Repac.%20%20e%20Prorroga&#231;&#227;o%20%202022%20-%20%20SAD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 (2)"/>
      <sheetName val="RESUMO "/>
      <sheetName val="DIU-PEBAS"/>
      <sheetName val="Diurno"/>
      <sheetName val="Noturno (2)"/>
      <sheetName val="Noturno"/>
      <sheetName val="Anexo"/>
      <sheetName val="QQP"/>
      <sheetName val="LOTE 01"/>
      <sheetName val="LOTE 02"/>
      <sheetName val="LOTE 03"/>
      <sheetName val="LOTE 04"/>
      <sheetName val="LOTE 05"/>
      <sheetName val="LOTE 06"/>
      <sheetName val="LOTE 07"/>
      <sheetName val="LOTE 08"/>
      <sheetName val="LOTE 09"/>
      <sheetName val="LOTE 10"/>
      <sheetName val="LOTE 11"/>
      <sheetName val="NOT-PEBA"/>
      <sheetName val="DIURNA"/>
      <sheetName val="IPHAN DIURNA"/>
      <sheetName val="DIU"/>
      <sheetName val="POSTO VIG DIU BIC"/>
      <sheetName val="POSTO VIG NOT BIC"/>
      <sheetName val="EPI ARMADO BICIC"/>
      <sheetName val="ITEM 1-POSTO VIG DIU"/>
      <sheetName val=" 24HS"/>
      <sheetName val="NOT-ANANIN"/>
      <sheetName val="12hs not"/>
      <sheetName val="CEPLAC DIU SDF"/>
      <sheetName val="POSTO 44hs-ITEM25ajustado"/>
      <sheetName val="POSTO 44hs-ITEM25ajustado."/>
      <sheetName val="POSTO 44hs-ITEM26ajustado"/>
      <sheetName val="POSTO 44hs-ITEM27ajustado"/>
      <sheetName val="POSTO 44hs-ITEM28ajustado"/>
      <sheetName val="POSTO 44hs-ITEM29ajustado"/>
      <sheetName val="I.4 POSTO 44hs-TRE DES"/>
      <sheetName val="POSTO SUP DIU-ITEM"/>
      <sheetName val="POSTO SUP VIG NOT"/>
      <sheetName val="I.5 POSTO VIG DIU DES"/>
      <sheetName val="I.6 POSTO VIG NOT DES"/>
      <sheetName val="I.7 POSTO 44hs-PEBAS"/>
      <sheetName val="I.8 POSTO 12hs DIU-PEBAS"/>
      <sheetName val="I.9 POSTO 12hs NOT-PEBAS"/>
      <sheetName val="EPI DESARMADO 2"/>
      <sheetName val="POSTO VIG DIU SEG-SEX"/>
      <sheetName val="ITEM 3-SUP.NOT ROND."/>
      <sheetName val="ITEM 4-9"/>
      <sheetName val="VIG 24HS Ronda"/>
      <sheetName val="A12N3"/>
      <sheetName val="D12N3"/>
      <sheetName val="44HS SEMANAIS"/>
      <sheetName val="INSUMOS 4 Vig"/>
      <sheetName val="12HS NOTURNAS"/>
      <sheetName val="INSUMOS 44 hs "/>
      <sheetName val="DIURNO  COM REPACTUAÇÃO"/>
      <sheetName val="NOTURNO COM REPACTUAÇÃO"/>
      <sheetName val="RESUMO REPACTUAÇÃO 2022  SUDAM"/>
      <sheetName val="RESUMO PRORR. COM 4 POSTOS"/>
      <sheetName val="Valor da Supressão"/>
      <sheetName val="Prorrogação 2022 com Supressão "/>
      <sheetName val=" Prorrogação sem supressão"/>
      <sheetName val="Media de custo com mão de obra"/>
      <sheetName val="INSUMOS 12hs "/>
      <sheetName val="Planilha4"/>
      <sheetName val="Custo de Substitução nas Ferias"/>
      <sheetName val="Uniforme e equipamento"/>
      <sheetName val="Média de custo - Equipamentos "/>
      <sheetName val="Planilha5"/>
      <sheetName val="POSTO 44hs-ITEM25"/>
      <sheetName val="POSTO 44hs-ITEM26"/>
      <sheetName val="POSTO 44hs-ITEM27"/>
      <sheetName val="POSTO 44hs-ITEM28"/>
      <sheetName val="POSTO 44hs-ITEM29"/>
      <sheetName val="POSTOS"/>
      <sheetName val="ANEXOS"/>
      <sheetName val="Memoria"/>
      <sheetName val="Proposta"/>
      <sheetName val="RESUMO"/>
      <sheetName val="Uniforme e Equipamentos"/>
      <sheetName val="INSUMOS"/>
      <sheetName val="Lote 4"/>
      <sheetName val="Lote 5"/>
      <sheetName val="Lote 6"/>
      <sheetName val="EPI"/>
      <sheetName val="EPI Noturno"/>
      <sheetName val="EPI Diurno SDF"/>
      <sheetName val="Plan1"/>
      <sheetName val="EPI DESARMADO"/>
      <sheetName val="INSUMOS 2 Vig"/>
      <sheetName val="MEMORIA DE CÁLCULO DOS ENCARGOS"/>
      <sheetName val="RESUMO DOS POSTOS"/>
      <sheetName val="RESUMO DOS POSTOS."/>
      <sheetName val="DADOS COMPLEMENTARES"/>
      <sheetName val="anexo da proposta"/>
      <sheetName val="Sheet1"/>
      <sheetName val="DISCRIMINAÇÃO DOS POS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>
        <row r="14">
          <cell r="F14">
            <v>61.833333333333336</v>
          </cell>
        </row>
        <row r="32">
          <cell r="F32">
            <v>63.694444444444443</v>
          </cell>
        </row>
        <row r="42">
          <cell r="F42">
            <v>17.537037037037038</v>
          </cell>
        </row>
      </sheetData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6"/>
  <sheetViews>
    <sheetView tabSelected="1" view="pageBreakPreview" zoomScaleNormal="100" zoomScaleSheetLayoutView="100" workbookViewId="0">
      <selection activeCell="E26" sqref="E26"/>
    </sheetView>
  </sheetViews>
  <sheetFormatPr defaultRowHeight="15" x14ac:dyDescent="0.25"/>
  <cols>
    <col min="1" max="1" width="7.5703125" customWidth="1"/>
    <col min="2" max="2" width="10.28515625" customWidth="1"/>
    <col min="3" max="3" width="22.85546875" customWidth="1"/>
    <col min="4" max="4" width="11.7109375" customWidth="1"/>
    <col min="5" max="5" width="11.140625" customWidth="1"/>
    <col min="6" max="6" width="12.85546875" customWidth="1"/>
    <col min="7" max="7" width="10.7109375" customWidth="1"/>
    <col min="8" max="8" width="8" customWidth="1"/>
    <col min="9" max="9" width="17.140625" customWidth="1"/>
    <col min="10" max="10" width="18.7109375" customWidth="1"/>
    <col min="11" max="11" width="18.140625" customWidth="1"/>
  </cols>
  <sheetData>
    <row r="1" spans="1:11" ht="19.899999999999999" customHeight="1" x14ac:dyDescent="0.25">
      <c r="A1" s="400" t="s">
        <v>192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</row>
    <row r="2" spans="1:11" s="47" customFormat="1" ht="48.6" customHeight="1" x14ac:dyDescent="0.25">
      <c r="A2" s="402" t="s">
        <v>193</v>
      </c>
      <c r="B2" s="403"/>
      <c r="C2" s="404"/>
      <c r="D2" s="405" t="s">
        <v>194</v>
      </c>
      <c r="E2" s="405"/>
      <c r="F2" s="160" t="s">
        <v>195</v>
      </c>
      <c r="G2" s="405" t="s">
        <v>196</v>
      </c>
      <c r="H2" s="405"/>
      <c r="I2" s="160" t="s">
        <v>197</v>
      </c>
      <c r="J2" s="160" t="s">
        <v>246</v>
      </c>
      <c r="K2" s="160" t="s">
        <v>247</v>
      </c>
    </row>
    <row r="3" spans="1:11" ht="39" customHeight="1" x14ac:dyDescent="0.25">
      <c r="A3" s="679" t="s">
        <v>1</v>
      </c>
      <c r="B3" s="405" t="s">
        <v>199</v>
      </c>
      <c r="C3" s="405"/>
      <c r="D3" s="405" t="s">
        <v>200</v>
      </c>
      <c r="E3" s="405"/>
      <c r="F3" s="102" t="s">
        <v>201</v>
      </c>
      <c r="G3" s="405" t="s">
        <v>202</v>
      </c>
      <c r="H3" s="405"/>
      <c r="I3" s="102" t="s">
        <v>203</v>
      </c>
      <c r="J3" s="102" t="s">
        <v>204</v>
      </c>
      <c r="K3" s="136" t="s">
        <v>248</v>
      </c>
    </row>
    <row r="4" spans="1:11" ht="90" customHeight="1" x14ac:dyDescent="0.25">
      <c r="A4" s="416">
        <v>1</v>
      </c>
      <c r="B4" s="409" t="str">
        <f>'VIG. DIURNO'!A13</f>
        <v xml:space="preserve">Vigilância Armada  - 12 (doze) horas diurnas, de segunda-feira a domingo, envolvendo 2 (dois) vigilantes em turnos de 12 (doze) por 36 (trinta e seis) horas.
</v>
      </c>
      <c r="C4" s="409"/>
      <c r="D4" s="410">
        <f>'VIG. DIURNO'!J166</f>
        <v>6412.1833576792387</v>
      </c>
      <c r="E4" s="409"/>
      <c r="F4" s="135">
        <v>2</v>
      </c>
      <c r="G4" s="411">
        <f>D4*F4</f>
        <v>12824.366715358477</v>
      </c>
      <c r="H4" s="412"/>
      <c r="I4" s="135">
        <v>4</v>
      </c>
      <c r="J4" s="105">
        <f>G4*I4</f>
        <v>51297.46686143391</v>
      </c>
      <c r="K4" s="105">
        <f>J4*12</f>
        <v>615569.60233720695</v>
      </c>
    </row>
    <row r="5" spans="1:11" ht="95.45" customHeight="1" x14ac:dyDescent="0.25">
      <c r="A5" s="417"/>
      <c r="B5" s="412" t="str">
        <f>'VIG.  NOTURNO'!A13</f>
        <v xml:space="preserve">Vigilância Armada  - 12 (doze) horas noturnas, de segunda-feira a domingo, envolvendo 2 (dois) vigilantes em turnos de 12 (doze) por 36 (trinta e seis) horas.
</v>
      </c>
      <c r="C5" s="412"/>
      <c r="D5" s="413">
        <f>'VIG.  NOTURNO'!J169</f>
        <v>7632.164146307995</v>
      </c>
      <c r="E5" s="412"/>
      <c r="F5" s="135">
        <v>2</v>
      </c>
      <c r="G5" s="411">
        <f>D5*F5</f>
        <v>15264.32829261599</v>
      </c>
      <c r="H5" s="412"/>
      <c r="I5" s="135">
        <v>3</v>
      </c>
      <c r="J5" s="134">
        <f>G5*I5</f>
        <v>45792.984877847972</v>
      </c>
      <c r="K5" s="105">
        <f t="shared" ref="K5:K7" si="0">J5*12</f>
        <v>549515.81853417563</v>
      </c>
    </row>
    <row r="6" spans="1:11" ht="95.45" customHeight="1" x14ac:dyDescent="0.25">
      <c r="A6" s="417"/>
      <c r="B6" s="412" t="s">
        <v>381</v>
      </c>
      <c r="C6" s="412"/>
      <c r="D6" s="413">
        <f>'Encarregado DIURNO '!J165/40</f>
        <v>204.99586835709638</v>
      </c>
      <c r="E6" s="412"/>
      <c r="F6" s="154">
        <v>1</v>
      </c>
      <c r="G6" s="411">
        <f>D6*F6</f>
        <v>204.99586835709638</v>
      </c>
      <c r="H6" s="412"/>
      <c r="I6" s="154">
        <v>1</v>
      </c>
      <c r="J6" s="153">
        <f>G6*I6</f>
        <v>204.99586835709638</v>
      </c>
      <c r="K6" s="105">
        <f t="shared" si="0"/>
        <v>2459.9504202851567</v>
      </c>
    </row>
    <row r="7" spans="1:11" ht="95.45" customHeight="1" x14ac:dyDescent="0.25">
      <c r="A7" s="418"/>
      <c r="B7" s="412" t="s">
        <v>382</v>
      </c>
      <c r="C7" s="412"/>
      <c r="D7" s="414">
        <f>'Encarregado  NOTURNO '!J166/40</f>
        <v>248.2067421086337</v>
      </c>
      <c r="E7" s="415"/>
      <c r="F7" s="154">
        <v>1</v>
      </c>
      <c r="G7" s="411">
        <f>D7*F7</f>
        <v>248.2067421086337</v>
      </c>
      <c r="H7" s="412"/>
      <c r="I7" s="154">
        <v>1</v>
      </c>
      <c r="J7" s="153">
        <f>G7*I7</f>
        <v>248.2067421086337</v>
      </c>
      <c r="K7" s="105">
        <f t="shared" si="0"/>
        <v>2978.4809053036042</v>
      </c>
    </row>
    <row r="8" spans="1:11" ht="24" customHeight="1" x14ac:dyDescent="0.25">
      <c r="A8" s="406" t="s">
        <v>150</v>
      </c>
      <c r="B8" s="407"/>
      <c r="C8" s="407"/>
      <c r="D8" s="407"/>
      <c r="E8" s="407"/>
      <c r="F8" s="407"/>
      <c r="G8" s="407"/>
      <c r="H8" s="407"/>
      <c r="I8" s="408"/>
      <c r="J8" s="138">
        <f>SUM(J4:J7)</f>
        <v>97543.654349747623</v>
      </c>
      <c r="K8" s="139">
        <f>SUM(K4:K7)</f>
        <v>1170523.8521969712</v>
      </c>
    </row>
    <row r="10" spans="1:11" x14ac:dyDescent="0.25">
      <c r="J10" s="53"/>
      <c r="K10" s="53"/>
    </row>
    <row r="11" spans="1:11" x14ac:dyDescent="0.25">
      <c r="J11" s="53"/>
    </row>
    <row r="12" spans="1:11" x14ac:dyDescent="0.25">
      <c r="K12" s="114"/>
    </row>
    <row r="14" spans="1:11" x14ac:dyDescent="0.25">
      <c r="K14" s="53"/>
    </row>
    <row r="16" spans="1:11" x14ac:dyDescent="0.25">
      <c r="K16" s="53"/>
    </row>
  </sheetData>
  <mergeCells count="21">
    <mergeCell ref="A8:I8"/>
    <mergeCell ref="B4:C4"/>
    <mergeCell ref="D4:E4"/>
    <mergeCell ref="G4:H4"/>
    <mergeCell ref="B5:C5"/>
    <mergeCell ref="D5:E5"/>
    <mergeCell ref="G5:H5"/>
    <mergeCell ref="B6:C6"/>
    <mergeCell ref="D6:E6"/>
    <mergeCell ref="G6:H6"/>
    <mergeCell ref="B7:C7"/>
    <mergeCell ref="D7:E7"/>
    <mergeCell ref="G7:H7"/>
    <mergeCell ref="A4:A7"/>
    <mergeCell ref="A1:K1"/>
    <mergeCell ref="A2:C2"/>
    <mergeCell ref="D2:E2"/>
    <mergeCell ref="G2:H2"/>
    <mergeCell ref="D3:E3"/>
    <mergeCell ref="G3:H3"/>
    <mergeCell ref="B3:C3"/>
  </mergeCells>
  <pageMargins left="0.511811024" right="0.511811024" top="0.78740157499999996" bottom="0.78740157499999996" header="0.31496062000000002" footer="0.31496062000000002"/>
  <pageSetup paperSize="9"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49F51-BE1F-465D-AF79-3792FA69DEE4}">
  <sheetPr>
    <pageSetUpPr fitToPage="1"/>
  </sheetPr>
  <dimension ref="A1:M36"/>
  <sheetViews>
    <sheetView view="pageBreakPreview" topLeftCell="A11" zoomScale="90" zoomScaleNormal="115" zoomScaleSheetLayoutView="90" workbookViewId="0">
      <selection activeCell="O24" sqref="O24"/>
    </sheetView>
  </sheetViews>
  <sheetFormatPr defaultColWidth="8.85546875" defaultRowHeight="15" x14ac:dyDescent="0.25"/>
  <cols>
    <col min="1" max="1" width="6.140625" style="298" customWidth="1"/>
    <col min="2" max="9" width="6.85546875" style="296" customWidth="1"/>
    <col min="10" max="10" width="36.28515625" style="297" bestFit="1" customWidth="1"/>
    <col min="11" max="11" width="34.28515625" style="297" customWidth="1"/>
    <col min="12" max="12" width="33" style="297" customWidth="1"/>
    <col min="13" max="13" width="17.42578125" style="296" bestFit="1" customWidth="1"/>
    <col min="14" max="14" width="8.85546875" style="296" customWidth="1"/>
    <col min="15" max="16384" width="8.85546875" style="296"/>
  </cols>
  <sheetData>
    <row r="1" spans="1:13" x14ac:dyDescent="0.25">
      <c r="A1" s="637" t="s">
        <v>367</v>
      </c>
      <c r="B1" s="637"/>
      <c r="C1" s="637"/>
      <c r="D1" s="637"/>
      <c r="E1" s="637"/>
      <c r="F1" s="637"/>
      <c r="G1" s="637"/>
      <c r="H1" s="637"/>
      <c r="I1" s="637"/>
      <c r="J1" s="637"/>
      <c r="K1" s="637"/>
      <c r="L1" s="637"/>
      <c r="M1" s="637"/>
    </row>
    <row r="2" spans="1:13" ht="127.5" x14ac:dyDescent="0.25">
      <c r="A2" s="315" t="s">
        <v>1</v>
      </c>
      <c r="B2" s="638" t="s">
        <v>2</v>
      </c>
      <c r="C2" s="639"/>
      <c r="D2" s="639"/>
      <c r="E2" s="639"/>
      <c r="F2" s="639"/>
      <c r="G2" s="639"/>
      <c r="H2" s="639"/>
      <c r="I2" s="640"/>
      <c r="J2" s="314" t="s">
        <v>371</v>
      </c>
      <c r="K2" s="314" t="s">
        <v>370</v>
      </c>
      <c r="L2" s="313" t="s">
        <v>376</v>
      </c>
      <c r="M2" s="314" t="s">
        <v>379</v>
      </c>
    </row>
    <row r="3" spans="1:13" x14ac:dyDescent="0.25">
      <c r="A3" s="321" t="s">
        <v>13</v>
      </c>
      <c r="B3" s="638" t="s">
        <v>14</v>
      </c>
      <c r="C3" s="639"/>
      <c r="D3" s="639"/>
      <c r="E3" s="639"/>
      <c r="F3" s="639"/>
      <c r="G3" s="639"/>
      <c r="H3" s="639"/>
      <c r="I3" s="640"/>
      <c r="J3" s="304" t="s">
        <v>16</v>
      </c>
      <c r="K3" s="304" t="s">
        <v>17</v>
      </c>
      <c r="L3" s="304" t="s">
        <v>18</v>
      </c>
      <c r="M3" s="310" t="s">
        <v>15</v>
      </c>
    </row>
    <row r="4" spans="1:13" ht="18" customHeight="1" x14ac:dyDescent="0.25">
      <c r="A4" s="303" t="s">
        <v>20</v>
      </c>
      <c r="B4" s="641" t="s">
        <v>21</v>
      </c>
      <c r="C4" s="642"/>
      <c r="D4" s="642"/>
      <c r="E4" s="642"/>
      <c r="F4" s="642"/>
      <c r="G4" s="642"/>
      <c r="H4" s="642"/>
      <c r="I4" s="643"/>
      <c r="J4" s="307">
        <v>13.5</v>
      </c>
      <c r="K4" s="307">
        <v>13.5</v>
      </c>
      <c r="L4" s="308">
        <v>14.53</v>
      </c>
      <c r="M4" s="307">
        <f>MEDIAN(J4:L4)</f>
        <v>13.5</v>
      </c>
    </row>
    <row r="5" spans="1:13" ht="18" customHeight="1" x14ac:dyDescent="0.25">
      <c r="A5" s="303"/>
      <c r="B5" s="656"/>
      <c r="C5" s="657"/>
      <c r="D5" s="657"/>
      <c r="E5" s="657"/>
      <c r="F5" s="657"/>
      <c r="G5" s="657"/>
      <c r="H5" s="657"/>
      <c r="I5" s="658"/>
      <c r="J5" s="307"/>
      <c r="K5" s="307"/>
      <c r="L5" s="308"/>
      <c r="M5" s="307"/>
    </row>
    <row r="6" spans="1:13" ht="18" customHeight="1" x14ac:dyDescent="0.25">
      <c r="A6" s="321">
        <v>3</v>
      </c>
      <c r="B6" s="638" t="s">
        <v>22</v>
      </c>
      <c r="C6" s="639"/>
      <c r="D6" s="639"/>
      <c r="E6" s="639"/>
      <c r="F6" s="639"/>
      <c r="G6" s="639"/>
      <c r="H6" s="639"/>
      <c r="I6" s="640"/>
      <c r="J6" s="304" t="s">
        <v>16</v>
      </c>
      <c r="K6" s="304" t="s">
        <v>17</v>
      </c>
      <c r="L6" s="304" t="s">
        <v>18</v>
      </c>
      <c r="M6" s="310" t="s">
        <v>15</v>
      </c>
    </row>
    <row r="7" spans="1:13" ht="20.25" customHeight="1" x14ac:dyDescent="0.25">
      <c r="A7" s="303" t="s">
        <v>23</v>
      </c>
      <c r="B7" s="644" t="s">
        <v>24</v>
      </c>
      <c r="C7" s="645"/>
      <c r="D7" s="645"/>
      <c r="E7" s="645"/>
      <c r="F7" s="645"/>
      <c r="G7" s="645"/>
      <c r="H7" s="645"/>
      <c r="I7" s="646"/>
      <c r="J7" s="327">
        <f>8.77/2088.55</f>
        <v>4.1990854899332068E-3</v>
      </c>
      <c r="K7" s="332">
        <v>4.1999999999999997E-3</v>
      </c>
      <c r="L7" s="341">
        <v>4.1999999999999997E-3</v>
      </c>
      <c r="M7" s="309">
        <f>MEDIAN(J7:L7)</f>
        <v>4.1999999999999997E-3</v>
      </c>
    </row>
    <row r="8" spans="1:13" ht="16.5" customHeight="1" x14ac:dyDescent="0.25">
      <c r="A8" s="303" t="s">
        <v>25</v>
      </c>
      <c r="B8" s="644" t="s">
        <v>26</v>
      </c>
      <c r="C8" s="645"/>
      <c r="D8" s="645"/>
      <c r="E8" s="645"/>
      <c r="F8" s="645"/>
      <c r="G8" s="645"/>
      <c r="H8" s="645"/>
      <c r="I8" s="646"/>
      <c r="J8" s="312">
        <v>1.9400000000000001E-2</v>
      </c>
      <c r="K8" s="333">
        <v>1.9400000000000001E-2</v>
      </c>
      <c r="L8" s="334">
        <v>1.9400000000000001E-2</v>
      </c>
      <c r="M8" s="309">
        <f>MEDIAN(J8:L8)</f>
        <v>1.9400000000000001E-2</v>
      </c>
    </row>
    <row r="9" spans="1:13" x14ac:dyDescent="0.25">
      <c r="A9" s="321" t="s">
        <v>27</v>
      </c>
      <c r="B9" s="653" t="s">
        <v>28</v>
      </c>
      <c r="C9" s="654"/>
      <c r="D9" s="654"/>
      <c r="E9" s="654"/>
      <c r="F9" s="654"/>
      <c r="G9" s="654"/>
      <c r="H9" s="654"/>
      <c r="I9" s="655"/>
      <c r="J9" s="304" t="s">
        <v>16</v>
      </c>
      <c r="K9" s="304" t="s">
        <v>17</v>
      </c>
      <c r="L9" s="304" t="s">
        <v>18</v>
      </c>
      <c r="M9" s="310" t="s">
        <v>15</v>
      </c>
    </row>
    <row r="10" spans="1:13" ht="15" customHeight="1" x14ac:dyDescent="0.25">
      <c r="A10" s="303" t="s">
        <v>30</v>
      </c>
      <c r="B10" s="644" t="s">
        <v>31</v>
      </c>
      <c r="C10" s="645"/>
      <c r="D10" s="645"/>
      <c r="E10" s="645"/>
      <c r="F10" s="645"/>
      <c r="G10" s="645"/>
      <c r="H10" s="645"/>
      <c r="I10" s="646"/>
      <c r="J10" s="312">
        <f>(5.654/2088.55)+(5.654/2088.55)*36.8%</f>
        <v>3.7033693232146701E-3</v>
      </c>
      <c r="K10" s="335">
        <v>5.4900343159111024E-3</v>
      </c>
      <c r="L10" s="334">
        <f>11.39/2088.55</f>
        <v>5.4535443250101744E-3</v>
      </c>
      <c r="M10" s="309">
        <f>MEDIAN(J10:L10)</f>
        <v>5.4535443250101744E-3</v>
      </c>
    </row>
    <row r="11" spans="1:13" x14ac:dyDescent="0.25">
      <c r="A11" s="303" t="s">
        <v>32</v>
      </c>
      <c r="B11" s="641" t="s">
        <v>33</v>
      </c>
      <c r="C11" s="642"/>
      <c r="D11" s="642"/>
      <c r="E11" s="642"/>
      <c r="F11" s="642"/>
      <c r="G11" s="642"/>
      <c r="H11" s="642"/>
      <c r="I11" s="643"/>
      <c r="J11" s="326">
        <f>(0.42/2088.55)+(0.42/2088.55)*36.8%</f>
        <v>2.7509994972588637E-4</v>
      </c>
      <c r="K11" s="335">
        <v>4.0666920858600759E-4</v>
      </c>
      <c r="L11" s="334">
        <f>0.81/2088.55</f>
        <v>3.8782887649326089E-4</v>
      </c>
      <c r="M11" s="309">
        <f t="shared" ref="M11:M13" si="0">MEDIAN(J11:L11)</f>
        <v>3.8782887649326089E-4</v>
      </c>
    </row>
    <row r="12" spans="1:13" x14ac:dyDescent="0.25">
      <c r="A12" s="303" t="s">
        <v>25</v>
      </c>
      <c r="B12" s="641" t="s">
        <v>34</v>
      </c>
      <c r="C12" s="642"/>
      <c r="D12" s="642"/>
      <c r="E12" s="642"/>
      <c r="F12" s="642"/>
      <c r="G12" s="642"/>
      <c r="H12" s="642"/>
      <c r="I12" s="643"/>
      <c r="J12" s="312">
        <f>(5.654/2088.55)+(5.654/2088.55)*36.8%</f>
        <v>3.7033693232146701E-3</v>
      </c>
      <c r="K12" s="335">
        <v>5.4900343159111024E-3</v>
      </c>
      <c r="L12" s="334">
        <f>11.39/2088.55</f>
        <v>5.4535443250101744E-3</v>
      </c>
      <c r="M12" s="309">
        <f t="shared" si="0"/>
        <v>5.4535443250101744E-3</v>
      </c>
    </row>
    <row r="13" spans="1:13" x14ac:dyDescent="0.25">
      <c r="A13" s="303" t="s">
        <v>20</v>
      </c>
      <c r="B13" s="641" t="s">
        <v>35</v>
      </c>
      <c r="C13" s="642"/>
      <c r="D13" s="642"/>
      <c r="E13" s="642"/>
      <c r="F13" s="642"/>
      <c r="G13" s="642"/>
      <c r="H13" s="642"/>
      <c r="I13" s="643"/>
      <c r="J13" s="325">
        <f>(0.63/2088.55)+(0.63/2088.55)*36.8%</f>
        <v>4.1264992458882956E-4</v>
      </c>
      <c r="K13" s="335">
        <v>6.100038128790113E-4</v>
      </c>
      <c r="L13" s="334">
        <f>1.22/2088.55</f>
        <v>5.841373201503435E-4</v>
      </c>
      <c r="M13" s="309">
        <f t="shared" si="0"/>
        <v>5.841373201503435E-4</v>
      </c>
    </row>
    <row r="14" spans="1:13" s="322" customFormat="1" ht="15" customHeight="1" x14ac:dyDescent="0.25">
      <c r="A14" s="303" t="s">
        <v>37</v>
      </c>
      <c r="B14" s="644" t="s">
        <v>173</v>
      </c>
      <c r="C14" s="645"/>
      <c r="D14" s="645"/>
      <c r="E14" s="645"/>
      <c r="F14" s="645"/>
      <c r="G14" s="645"/>
      <c r="H14" s="645"/>
      <c r="I14" s="646"/>
      <c r="J14" s="307"/>
      <c r="K14" s="324"/>
      <c r="L14" s="323"/>
      <c r="M14" s="307"/>
    </row>
    <row r="15" spans="1:13" s="320" customFormat="1" x14ac:dyDescent="0.25">
      <c r="A15" s="321">
        <v>6</v>
      </c>
      <c r="B15" s="647" t="s">
        <v>39</v>
      </c>
      <c r="C15" s="648"/>
      <c r="D15" s="648"/>
      <c r="E15" s="648"/>
      <c r="F15" s="648"/>
      <c r="G15" s="648"/>
      <c r="H15" s="648"/>
      <c r="I15" s="649"/>
      <c r="J15" s="310" t="s">
        <v>7</v>
      </c>
      <c r="K15" s="310" t="s">
        <v>8</v>
      </c>
      <c r="L15" s="310" t="s">
        <v>9</v>
      </c>
      <c r="M15" s="310" t="s">
        <v>40</v>
      </c>
    </row>
    <row r="16" spans="1:13" x14ac:dyDescent="0.25">
      <c r="A16" s="303" t="s">
        <v>23</v>
      </c>
      <c r="B16" s="641" t="s">
        <v>41</v>
      </c>
      <c r="C16" s="642"/>
      <c r="D16" s="642"/>
      <c r="E16" s="642"/>
      <c r="F16" s="642"/>
      <c r="G16" s="642"/>
      <c r="H16" s="642"/>
      <c r="I16" s="643"/>
      <c r="J16" s="302">
        <v>1.0999999999999999E-2</v>
      </c>
      <c r="K16" s="302">
        <v>5.6599999999999998E-2</v>
      </c>
      <c r="L16" s="300">
        <v>5.9167999999999998E-2</v>
      </c>
      <c r="M16" s="301">
        <f>MEDIAN(J16:L16)</f>
        <v>5.6599999999999998E-2</v>
      </c>
    </row>
    <row r="17" spans="1:13" s="318" customFormat="1" ht="12.75" x14ac:dyDescent="0.2">
      <c r="A17" s="319" t="s">
        <v>42</v>
      </c>
      <c r="B17" s="650" t="s">
        <v>43</v>
      </c>
      <c r="C17" s="651"/>
      <c r="D17" s="651"/>
      <c r="E17" s="651"/>
      <c r="F17" s="651"/>
      <c r="G17" s="651"/>
      <c r="H17" s="651"/>
      <c r="I17" s="652"/>
      <c r="J17" s="302">
        <v>9.1999999999999998E-3</v>
      </c>
      <c r="K17" s="302">
        <v>0.1</v>
      </c>
      <c r="L17" s="157">
        <v>5.8999999999999997E-2</v>
      </c>
      <c r="M17" s="301">
        <f>MEDIAN(J17:L17)</f>
        <v>5.8999999999999997E-2</v>
      </c>
    </row>
    <row r="18" spans="1:13" x14ac:dyDescent="0.25">
      <c r="B18" s="317"/>
      <c r="C18" s="317"/>
      <c r="D18" s="317"/>
      <c r="E18" s="317"/>
      <c r="F18" s="317"/>
      <c r="G18" s="317"/>
      <c r="H18" s="317"/>
      <c r="I18" s="317"/>
      <c r="J18" s="316"/>
      <c r="K18" s="316"/>
      <c r="L18" s="316"/>
      <c r="M18" s="317"/>
    </row>
    <row r="19" spans="1:13" ht="24.75" customHeight="1" x14ac:dyDescent="0.25">
      <c r="A19" s="637" t="s">
        <v>365</v>
      </c>
      <c r="B19" s="637"/>
      <c r="C19" s="637"/>
      <c r="D19" s="637"/>
      <c r="E19" s="637"/>
      <c r="F19" s="637"/>
      <c r="G19" s="637"/>
      <c r="H19" s="637"/>
      <c r="I19" s="637"/>
      <c r="J19" s="637"/>
      <c r="K19" s="637"/>
      <c r="L19" s="637"/>
      <c r="M19" s="637"/>
    </row>
    <row r="20" spans="1:13" ht="127.5" x14ac:dyDescent="0.25">
      <c r="A20" s="315" t="s">
        <v>1</v>
      </c>
      <c r="B20" s="638" t="s">
        <v>2</v>
      </c>
      <c r="C20" s="639"/>
      <c r="D20" s="639"/>
      <c r="E20" s="639"/>
      <c r="F20" s="639"/>
      <c r="G20" s="639"/>
      <c r="H20" s="639"/>
      <c r="I20" s="640"/>
      <c r="J20" s="314" t="str">
        <f>J2</f>
        <v>Empresa Brasileira de Serviços Hospitalares – EBSERH   
Complexo Hospitalar Universitário da UFPA/EBSERH   ; Empresa: POLO SEGURANCA
ESPECIALIZADA LTDA
 PREGÃO 80/2022 REPUBLICAÇÃO /2022 
(UASG 155909); Data de homologação: 11/01/2023</v>
      </c>
      <c r="K20" s="314" t="str">
        <f>K2</f>
        <v xml:space="preserve">UASG 925611 - UNIVERSIDADE ESTADUAL DO PARA;
Pregão Nº 00031/2022 ; Empresa : O S SERVICOS DE VIGILANCIA EIRELI; Data de   Homologação do Pregão Eletrônico:  14/12/2022 </v>
      </c>
      <c r="L20" s="313" t="str">
        <f>L2</f>
        <v>Nº Pregão: 122022 / UASG: 928228 / Nº Item: 2; SECRETARIA ESTRATEGICA DE ESTADO DE ARTICULAÇAO DA CIDADANIA; Adj/Hom:	20/10/2022 ; Empresa:	BELEM RIO SEGURANCA LTDA</v>
      </c>
      <c r="M20" s="314" t="s">
        <v>379</v>
      </c>
    </row>
    <row r="21" spans="1:13" ht="15" hidden="1" customHeight="1" x14ac:dyDescent="0.25">
      <c r="A21" s="311" t="s">
        <v>4</v>
      </c>
      <c r="B21" s="638" t="s">
        <v>5</v>
      </c>
      <c r="C21" s="639"/>
      <c r="D21" s="639"/>
      <c r="E21" s="639"/>
      <c r="F21" s="639"/>
      <c r="G21" s="639"/>
      <c r="H21" s="639"/>
      <c r="I21" s="640"/>
      <c r="J21" s="310" t="s">
        <v>7</v>
      </c>
      <c r="K21" s="310" t="s">
        <v>8</v>
      </c>
      <c r="L21" s="310" t="s">
        <v>9</v>
      </c>
      <c r="M21" s="6" t="s">
        <v>6</v>
      </c>
    </row>
    <row r="22" spans="1:13" ht="15" hidden="1" customHeight="1" x14ac:dyDescent="0.25">
      <c r="A22" s="303" t="s">
        <v>11</v>
      </c>
      <c r="B22" s="641" t="s">
        <v>12</v>
      </c>
      <c r="C22" s="642"/>
      <c r="D22" s="642"/>
      <c r="E22" s="642"/>
      <c r="F22" s="642"/>
      <c r="G22" s="642"/>
      <c r="H22" s="642"/>
      <c r="I22" s="643"/>
      <c r="J22" s="10"/>
      <c r="K22" s="10">
        <v>2.4299999999999999E-2</v>
      </c>
      <c r="L22" s="10">
        <v>3.8800000000000001E-2</v>
      </c>
      <c r="M22" s="9">
        <v>0.03</v>
      </c>
    </row>
    <row r="23" spans="1:13" x14ac:dyDescent="0.25">
      <c r="A23" s="311" t="s">
        <v>13</v>
      </c>
      <c r="B23" s="638" t="s">
        <v>14</v>
      </c>
      <c r="C23" s="639"/>
      <c r="D23" s="639"/>
      <c r="E23" s="639"/>
      <c r="F23" s="639"/>
      <c r="G23" s="639"/>
      <c r="H23" s="639"/>
      <c r="I23" s="640"/>
      <c r="J23" s="304" t="s">
        <v>16</v>
      </c>
      <c r="K23" s="304" t="s">
        <v>17</v>
      </c>
      <c r="L23" s="304" t="s">
        <v>18</v>
      </c>
      <c r="M23" s="310" t="s">
        <v>15</v>
      </c>
    </row>
    <row r="24" spans="1:13" x14ac:dyDescent="0.25">
      <c r="A24" s="303" t="s">
        <v>20</v>
      </c>
      <c r="B24" s="641" t="s">
        <v>21</v>
      </c>
      <c r="C24" s="642"/>
      <c r="D24" s="642"/>
      <c r="E24" s="642"/>
      <c r="F24" s="642"/>
      <c r="G24" s="642"/>
      <c r="H24" s="642"/>
      <c r="I24" s="643"/>
      <c r="J24" s="307">
        <v>13.5</v>
      </c>
      <c r="K24" s="308">
        <v>13.5</v>
      </c>
      <c r="L24" s="308">
        <v>14.53</v>
      </c>
      <c r="M24" s="307">
        <f>MEDIAN(J24:L24)</f>
        <v>13.5</v>
      </c>
    </row>
    <row r="25" spans="1:13" x14ac:dyDescent="0.25">
      <c r="A25" s="311">
        <v>3</v>
      </c>
      <c r="B25" s="638" t="s">
        <v>22</v>
      </c>
      <c r="C25" s="639"/>
      <c r="D25" s="639"/>
      <c r="E25" s="639"/>
      <c r="F25" s="639"/>
      <c r="G25" s="639"/>
      <c r="H25" s="639"/>
      <c r="I25" s="640"/>
      <c r="J25" s="304"/>
      <c r="K25" s="304" t="s">
        <v>17</v>
      </c>
      <c r="L25" s="304" t="s">
        <v>18</v>
      </c>
      <c r="M25" s="310" t="s">
        <v>15</v>
      </c>
    </row>
    <row r="26" spans="1:13" ht="15" customHeight="1" x14ac:dyDescent="0.25">
      <c r="A26" s="303" t="s">
        <v>23</v>
      </c>
      <c r="B26" s="644" t="s">
        <v>24</v>
      </c>
      <c r="C26" s="645"/>
      <c r="D26" s="645"/>
      <c r="E26" s="645"/>
      <c r="F26" s="645"/>
      <c r="G26" s="645"/>
      <c r="H26" s="645"/>
      <c r="I26" s="646"/>
      <c r="J26" s="312">
        <v>4.1999999999999997E-3</v>
      </c>
      <c r="K26" s="312">
        <v>4.1999999999999997E-3</v>
      </c>
      <c r="L26" s="334">
        <v>4.1999999999999997E-3</v>
      </c>
      <c r="M26" s="337">
        <f>MEDIAN(J26:L26)</f>
        <v>4.1999999999999997E-3</v>
      </c>
    </row>
    <row r="27" spans="1:13" ht="15" customHeight="1" x14ac:dyDescent="0.25">
      <c r="A27" s="303" t="s">
        <v>25</v>
      </c>
      <c r="B27" s="644" t="s">
        <v>26</v>
      </c>
      <c r="C27" s="645"/>
      <c r="D27" s="645"/>
      <c r="E27" s="645"/>
      <c r="F27" s="645"/>
      <c r="G27" s="645"/>
      <c r="H27" s="645"/>
      <c r="I27" s="646"/>
      <c r="J27" s="312">
        <v>1.9400000000000001E-2</v>
      </c>
      <c r="K27" s="334">
        <v>1.9400000000000001E-2</v>
      </c>
      <c r="L27" s="334">
        <v>1.9400000000000001E-2</v>
      </c>
      <c r="M27" s="337">
        <f>MEDIAN(J27:L27)</f>
        <v>1.9400000000000001E-2</v>
      </c>
    </row>
    <row r="28" spans="1:13" x14ac:dyDescent="0.25">
      <c r="A28" s="311" t="s">
        <v>27</v>
      </c>
      <c r="B28" s="653" t="s">
        <v>28</v>
      </c>
      <c r="C28" s="654"/>
      <c r="D28" s="654"/>
      <c r="E28" s="654"/>
      <c r="F28" s="654"/>
      <c r="G28" s="654"/>
      <c r="H28" s="654"/>
      <c r="I28" s="655"/>
      <c r="J28" s="304" t="s">
        <v>16</v>
      </c>
      <c r="K28" s="304" t="s">
        <v>17</v>
      </c>
      <c r="L28" s="304" t="s">
        <v>18</v>
      </c>
      <c r="M28" s="310" t="s">
        <v>15</v>
      </c>
    </row>
    <row r="29" spans="1:13" ht="15" customHeight="1" x14ac:dyDescent="0.25">
      <c r="A29" s="303" t="s">
        <v>30</v>
      </c>
      <c r="B29" s="644" t="s">
        <v>31</v>
      </c>
      <c r="C29" s="645"/>
      <c r="D29" s="645"/>
      <c r="E29" s="645"/>
      <c r="F29" s="645"/>
      <c r="G29" s="645"/>
      <c r="H29" s="645"/>
      <c r="I29" s="646"/>
      <c r="J29" s="309">
        <f>(7.16/2653.59)+(7.16/2653.59)*36.8%</f>
        <v>3.6911806269996493E-3</v>
      </c>
      <c r="K29" s="336">
        <v>5.3180916732183539E-3</v>
      </c>
      <c r="L29" s="334">
        <f>14.03/2653.63</f>
        <v>5.28709729691027E-3</v>
      </c>
      <c r="M29" s="309">
        <f>MEDIAN(J29:L29)</f>
        <v>5.28709729691027E-3</v>
      </c>
    </row>
    <row r="30" spans="1:13" x14ac:dyDescent="0.25">
      <c r="A30" s="303" t="s">
        <v>32</v>
      </c>
      <c r="B30" s="641" t="s">
        <v>33</v>
      </c>
      <c r="C30" s="642"/>
      <c r="D30" s="642"/>
      <c r="E30" s="642"/>
      <c r="F30" s="642"/>
      <c r="G30" s="642"/>
      <c r="H30" s="642"/>
      <c r="I30" s="643"/>
      <c r="J30" s="309">
        <f>(0.53/2653.59)+(0.53/2653.59)*36.8%</f>
        <v>2.7322985088125895E-4</v>
      </c>
      <c r="K30" s="336">
        <v>3.939327165346929E-4</v>
      </c>
      <c r="L30" s="334">
        <f>1/2653.63</f>
        <v>3.7684228773416035E-4</v>
      </c>
      <c r="M30" s="309">
        <f>MEDIAN(J30:L30)</f>
        <v>3.7684228773416035E-4</v>
      </c>
    </row>
    <row r="31" spans="1:13" x14ac:dyDescent="0.25">
      <c r="A31" s="303" t="s">
        <v>25</v>
      </c>
      <c r="B31" s="641" t="s">
        <v>34</v>
      </c>
      <c r="C31" s="642"/>
      <c r="D31" s="642"/>
      <c r="E31" s="642"/>
      <c r="F31" s="642"/>
      <c r="G31" s="642"/>
      <c r="H31" s="642"/>
      <c r="I31" s="643"/>
      <c r="J31" s="309">
        <f>(7.16/2653.59)+(7.16/2653.59)*36.8%</f>
        <v>3.6911806269996493E-3</v>
      </c>
      <c r="K31" s="336">
        <v>5.3180916732183539E-3</v>
      </c>
      <c r="L31" s="334">
        <f>14.03/2653.63</f>
        <v>5.28709729691027E-3</v>
      </c>
      <c r="M31" s="309">
        <f>MEDIAN(J31:L31)</f>
        <v>5.28709729691027E-3</v>
      </c>
    </row>
    <row r="32" spans="1:13" x14ac:dyDescent="0.25">
      <c r="A32" s="303" t="s">
        <v>20</v>
      </c>
      <c r="B32" s="641" t="s">
        <v>35</v>
      </c>
      <c r="C32" s="642"/>
      <c r="D32" s="642"/>
      <c r="E32" s="642"/>
      <c r="F32" s="642"/>
      <c r="G32" s="642"/>
      <c r="H32" s="642"/>
      <c r="I32" s="643"/>
      <c r="J32" s="309">
        <f>(0.8/2653.59)+(0.8/2653.59)*36.8%</f>
        <v>4.1242241642454184E-4</v>
      </c>
      <c r="K32" s="336">
        <v>5.9089907480203922E-4</v>
      </c>
      <c r="L32" s="334">
        <f>1.5/2653.63</f>
        <v>5.6526343160124052E-4</v>
      </c>
      <c r="M32" s="309">
        <f>MEDIAN(J32:L32)</f>
        <v>5.6526343160124052E-4</v>
      </c>
    </row>
    <row r="33" spans="1:13" x14ac:dyDescent="0.25">
      <c r="A33" s="303" t="s">
        <v>37</v>
      </c>
      <c r="B33" s="641" t="str">
        <f>B14</f>
        <v>Outros (especificar)</v>
      </c>
      <c r="C33" s="642"/>
      <c r="D33" s="642"/>
      <c r="E33" s="642"/>
      <c r="F33" s="642"/>
      <c r="G33" s="642"/>
      <c r="H33" s="642"/>
      <c r="I33" s="643"/>
      <c r="J33" s="307"/>
      <c r="K33" s="306"/>
      <c r="L33" s="305"/>
      <c r="M33" s="307"/>
    </row>
    <row r="34" spans="1:13" x14ac:dyDescent="0.25">
      <c r="A34" s="304">
        <v>6</v>
      </c>
      <c r="B34" s="659" t="s">
        <v>39</v>
      </c>
      <c r="C34" s="660"/>
      <c r="D34" s="660"/>
      <c r="E34" s="660"/>
      <c r="F34" s="660"/>
      <c r="G34" s="660"/>
      <c r="H34" s="660"/>
      <c r="I34" s="661"/>
      <c r="J34" s="304" t="s">
        <v>7</v>
      </c>
      <c r="K34" s="304" t="s">
        <v>8</v>
      </c>
      <c r="L34" s="304" t="s">
        <v>9</v>
      </c>
      <c r="M34" s="304" t="s">
        <v>40</v>
      </c>
    </row>
    <row r="35" spans="1:13" x14ac:dyDescent="0.25">
      <c r="A35" s="303" t="s">
        <v>23</v>
      </c>
      <c r="B35" s="641" t="s">
        <v>41</v>
      </c>
      <c r="C35" s="642"/>
      <c r="D35" s="642"/>
      <c r="E35" s="642"/>
      <c r="F35" s="642"/>
      <c r="G35" s="642"/>
      <c r="H35" s="642"/>
      <c r="I35" s="643"/>
      <c r="J35" s="302">
        <v>2.4E-2</v>
      </c>
      <c r="K35" s="302">
        <v>5.6599999999999998E-2</v>
      </c>
      <c r="L35" s="300">
        <v>5.9540000000000003E-2</v>
      </c>
      <c r="M35" s="301">
        <f>MEDIAN(J35:L35)</f>
        <v>5.6599999999999998E-2</v>
      </c>
    </row>
    <row r="36" spans="1:13" s="299" customFormat="1" ht="18.75" customHeight="1" x14ac:dyDescent="0.2">
      <c r="A36" s="303" t="s">
        <v>42</v>
      </c>
      <c r="B36" s="644" t="s">
        <v>43</v>
      </c>
      <c r="C36" s="645"/>
      <c r="D36" s="645"/>
      <c r="E36" s="645"/>
      <c r="F36" s="645"/>
      <c r="G36" s="645"/>
      <c r="H36" s="645"/>
      <c r="I36" s="646"/>
      <c r="J36" s="302">
        <v>9.1999999999999998E-3</v>
      </c>
      <c r="K36" s="302">
        <v>0.1</v>
      </c>
      <c r="L36" s="300">
        <v>5.8000000000000003E-2</v>
      </c>
      <c r="M36" s="301">
        <f>MEDIAN(J36:L36)</f>
        <v>5.8000000000000003E-2</v>
      </c>
    </row>
  </sheetData>
  <mergeCells count="35">
    <mergeCell ref="B32:I32"/>
    <mergeCell ref="B33:I33"/>
    <mergeCell ref="B34:I34"/>
    <mergeCell ref="B35:I35"/>
    <mergeCell ref="B36:I36"/>
    <mergeCell ref="B30:I30"/>
    <mergeCell ref="B31:I31"/>
    <mergeCell ref="B20:I20"/>
    <mergeCell ref="B21:I21"/>
    <mergeCell ref="B22:I22"/>
    <mergeCell ref="B23:I23"/>
    <mergeCell ref="B24:I24"/>
    <mergeCell ref="B25:I25"/>
    <mergeCell ref="B26:I26"/>
    <mergeCell ref="B27:I27"/>
    <mergeCell ref="B28:I28"/>
    <mergeCell ref="B29:I29"/>
    <mergeCell ref="A1:M1"/>
    <mergeCell ref="B7:I7"/>
    <mergeCell ref="B8:I8"/>
    <mergeCell ref="B9:I9"/>
    <mergeCell ref="B10:I10"/>
    <mergeCell ref="B5:I5"/>
    <mergeCell ref="A19:M19"/>
    <mergeCell ref="B2:I2"/>
    <mergeCell ref="B3:I3"/>
    <mergeCell ref="B4:I4"/>
    <mergeCell ref="B6:I6"/>
    <mergeCell ref="B11:I11"/>
    <mergeCell ref="B12:I12"/>
    <mergeCell ref="B13:I13"/>
    <mergeCell ref="B14:I14"/>
    <mergeCell ref="B15:I15"/>
    <mergeCell ref="B16:I16"/>
    <mergeCell ref="B17:I17"/>
  </mergeCells>
  <pageMargins left="0.51181102362204722" right="0.51181102362204722" top="0.78740157480314965" bottom="0.78740157480314965" header="0.31496062992125984" footer="0.31496062992125984"/>
  <pageSetup paperSize="9" scale="39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9"/>
  <sheetViews>
    <sheetView view="pageBreakPreview" topLeftCell="A19" zoomScale="80" zoomScaleNormal="100" zoomScaleSheetLayoutView="80" workbookViewId="0">
      <selection activeCell="A23" sqref="A23:B23"/>
    </sheetView>
  </sheetViews>
  <sheetFormatPr defaultRowHeight="15" x14ac:dyDescent="0.25"/>
  <cols>
    <col min="1" max="1" width="50.85546875" customWidth="1"/>
    <col min="2" max="2" width="21.5703125" style="1" customWidth="1"/>
    <col min="3" max="3" width="19.140625" style="1" customWidth="1"/>
    <col min="4" max="4" width="28.28515625" customWidth="1"/>
    <col min="5" max="5" width="27" customWidth="1"/>
    <col min="6" max="9" width="23.85546875" customWidth="1"/>
    <col min="10" max="10" width="24.28515625" customWidth="1"/>
    <col min="11" max="11" width="21.85546875" customWidth="1"/>
    <col min="12" max="12" width="10.140625" bestFit="1" customWidth="1"/>
  </cols>
  <sheetData>
    <row r="1" spans="1:16" ht="174.6" customHeight="1" x14ac:dyDescent="0.25">
      <c r="A1" s="662" t="s">
        <v>46</v>
      </c>
      <c r="B1" s="663"/>
      <c r="C1" s="664"/>
      <c r="D1" s="21" t="s">
        <v>366</v>
      </c>
      <c r="E1" s="21" t="str">
        <f>'Media de custo com mão de o (2)'!K2</f>
        <v xml:space="preserve">UASG 925611 - UNIVERSIDADE ESTADUAL DO PARA;
Pregão Nº 00031/2022 ; Empresa : O S SERVICOS DE VIGILANCIA EIRELI; Data de   Homologação do Pregão Eletrônico:  14/12/2022 </v>
      </c>
      <c r="F1" s="21" t="str">
        <f>'Media de custo com mão de o (2)'!L20</f>
        <v>Nº Pregão: 122022 / UASG: 928228 / Nº Item: 2; SECRETARIA ESTRATEGICA DE ESTADO DE ARTICULAÇAO DA CIDADANIA; Adj/Hom:	20/10/2022 ; Empresa:	BELEM RIO SEGURANCA LTDA</v>
      </c>
      <c r="G1" s="22" t="s">
        <v>380</v>
      </c>
    </row>
    <row r="2" spans="1:16" ht="30" x14ac:dyDescent="0.25">
      <c r="A2" s="23" t="s">
        <v>47</v>
      </c>
      <c r="B2" s="24" t="s">
        <v>48</v>
      </c>
      <c r="C2" s="24" t="s">
        <v>49</v>
      </c>
      <c r="D2" s="25" t="s">
        <v>50</v>
      </c>
      <c r="E2" s="25" t="s">
        <v>50</v>
      </c>
      <c r="F2" s="25" t="s">
        <v>50</v>
      </c>
      <c r="G2" s="26" t="s">
        <v>379</v>
      </c>
      <c r="H2" s="17"/>
      <c r="I2" s="17"/>
      <c r="J2" s="17"/>
      <c r="K2" s="17"/>
      <c r="L2" s="17"/>
      <c r="M2" s="17"/>
    </row>
    <row r="3" spans="1:16" ht="15.75" x14ac:dyDescent="0.25">
      <c r="A3" s="27" t="s">
        <v>51</v>
      </c>
      <c r="B3" s="28">
        <v>2</v>
      </c>
      <c r="C3" s="29">
        <f>B3*2</f>
        <v>4</v>
      </c>
      <c r="D3" s="30">
        <f>C3*40/12</f>
        <v>13.333333333333334</v>
      </c>
      <c r="E3" s="31">
        <f>C3*30.32/12</f>
        <v>10.106666666666667</v>
      </c>
      <c r="F3" s="30">
        <f>C3*16/12</f>
        <v>5.333333333333333</v>
      </c>
      <c r="G3" s="31">
        <f>MEDIAN(D3:F3)</f>
        <v>10.106666666666667</v>
      </c>
      <c r="H3" s="17"/>
      <c r="I3" s="17"/>
      <c r="J3" s="17"/>
      <c r="K3" s="17"/>
      <c r="L3" s="17"/>
      <c r="M3" s="17"/>
    </row>
    <row r="4" spans="1:16" ht="15.75" x14ac:dyDescent="0.25">
      <c r="A4" s="27" t="s">
        <v>52</v>
      </c>
      <c r="B4" s="32">
        <v>2</v>
      </c>
      <c r="C4" s="33">
        <f t="shared" ref="C4:C8" si="0">B4*2</f>
        <v>4</v>
      </c>
      <c r="D4" s="30">
        <f>C4*30/12</f>
        <v>10</v>
      </c>
      <c r="E4" s="30">
        <f>C4*30.32/12</f>
        <v>10.106666666666667</v>
      </c>
      <c r="F4" s="30">
        <f>C4*20/12</f>
        <v>6.666666666666667</v>
      </c>
      <c r="G4" s="31">
        <f t="shared" ref="G4:G12" si="1">MEDIAN(D4:F4)</f>
        <v>10</v>
      </c>
      <c r="H4" s="17"/>
      <c r="I4" s="17"/>
      <c r="J4" s="17"/>
      <c r="K4" s="17"/>
      <c r="L4" s="17"/>
      <c r="M4" s="17"/>
    </row>
    <row r="5" spans="1:16" ht="15.75" x14ac:dyDescent="0.25">
      <c r="A5" s="27" t="s">
        <v>53</v>
      </c>
      <c r="B5" s="32">
        <v>1</v>
      </c>
      <c r="C5" s="33">
        <f t="shared" si="0"/>
        <v>2</v>
      </c>
      <c r="D5" s="31">
        <f>C5*10/12</f>
        <v>1.6666666666666667</v>
      </c>
      <c r="E5" s="31">
        <f>C5*25.27/12</f>
        <v>4.2116666666666669</v>
      </c>
      <c r="F5" s="31">
        <f>C5*7/12</f>
        <v>1.1666666666666667</v>
      </c>
      <c r="G5" s="31">
        <f t="shared" si="1"/>
        <v>1.6666666666666667</v>
      </c>
      <c r="H5" s="17"/>
      <c r="I5" s="17"/>
      <c r="J5" s="17"/>
      <c r="K5" s="17"/>
      <c r="L5" s="17"/>
      <c r="M5" s="17"/>
    </row>
    <row r="6" spans="1:16" ht="15.75" x14ac:dyDescent="0.25">
      <c r="A6" s="27" t="s">
        <v>54</v>
      </c>
      <c r="B6" s="32">
        <v>1</v>
      </c>
      <c r="C6" s="33">
        <f t="shared" si="0"/>
        <v>2</v>
      </c>
      <c r="D6" s="31">
        <f>C6*50/12</f>
        <v>8.3333333333333339</v>
      </c>
      <c r="E6" s="31">
        <f>C6*65.69/12</f>
        <v>10.948333333333332</v>
      </c>
      <c r="F6" s="31">
        <f>C6*38/12</f>
        <v>6.333333333333333</v>
      </c>
      <c r="G6" s="31">
        <f t="shared" si="1"/>
        <v>8.3333333333333339</v>
      </c>
      <c r="H6" s="17"/>
      <c r="I6" s="17"/>
      <c r="J6" s="17"/>
      <c r="K6" s="17"/>
      <c r="L6" s="17"/>
      <c r="M6" s="17"/>
    </row>
    <row r="7" spans="1:16" ht="15.75" x14ac:dyDescent="0.25">
      <c r="A7" s="27" t="s">
        <v>55</v>
      </c>
      <c r="B7" s="32">
        <v>2</v>
      </c>
      <c r="C7" s="33">
        <f t="shared" si="0"/>
        <v>4</v>
      </c>
      <c r="D7" s="31">
        <f>C7*3/12</f>
        <v>1</v>
      </c>
      <c r="E7" s="31">
        <f>C7*10.11/12</f>
        <v>3.3699999999999997</v>
      </c>
      <c r="F7" s="31">
        <f>C7*5/12</f>
        <v>1.6666666666666667</v>
      </c>
      <c r="G7" s="31">
        <f t="shared" si="1"/>
        <v>1.6666666666666667</v>
      </c>
      <c r="H7" s="17"/>
      <c r="I7" s="17"/>
      <c r="J7" s="17"/>
      <c r="K7" s="17"/>
      <c r="L7" s="17"/>
      <c r="M7" s="17"/>
    </row>
    <row r="8" spans="1:16" ht="15.75" x14ac:dyDescent="0.25">
      <c r="A8" s="34" t="s">
        <v>56</v>
      </c>
      <c r="B8" s="35">
        <v>1</v>
      </c>
      <c r="C8" s="36">
        <f t="shared" si="0"/>
        <v>2</v>
      </c>
      <c r="D8" s="37">
        <f>8.5*C8/12</f>
        <v>1.4166666666666667</v>
      </c>
      <c r="E8" s="37">
        <f>C8*15.16/12</f>
        <v>2.5266666666666668</v>
      </c>
      <c r="F8" s="37">
        <f>C8*9/12</f>
        <v>1.5</v>
      </c>
      <c r="G8" s="31">
        <f t="shared" si="1"/>
        <v>1.5</v>
      </c>
      <c r="H8" s="17"/>
      <c r="I8" s="17"/>
      <c r="J8" s="17"/>
      <c r="K8" s="17"/>
      <c r="L8" s="17"/>
      <c r="M8" s="17"/>
    </row>
    <row r="9" spans="1:16" ht="15.75" x14ac:dyDescent="0.25">
      <c r="A9" s="331" t="s">
        <v>66</v>
      </c>
      <c r="B9" s="33"/>
      <c r="C9" s="33">
        <v>1</v>
      </c>
      <c r="D9" s="31">
        <f>C9*12.5/12</f>
        <v>1.0416666666666667</v>
      </c>
      <c r="E9" s="31">
        <f>C9*15.16/12</f>
        <v>1.2633333333333334</v>
      </c>
      <c r="F9" s="31">
        <f>C9*(4+2)/12</f>
        <v>0.5</v>
      </c>
      <c r="G9" s="31">
        <f t="shared" si="1"/>
        <v>1.0416666666666667</v>
      </c>
      <c r="H9" s="17"/>
      <c r="I9" s="17"/>
      <c r="J9" s="17"/>
      <c r="K9" s="17"/>
      <c r="L9" s="17"/>
      <c r="M9" s="17"/>
    </row>
    <row r="10" spans="1:16" ht="20.25" customHeight="1" x14ac:dyDescent="0.25">
      <c r="A10" s="331" t="s">
        <v>369</v>
      </c>
      <c r="B10" s="33"/>
      <c r="C10" s="33">
        <v>1</v>
      </c>
      <c r="D10" s="31">
        <f>C10*18/12</f>
        <v>1.5</v>
      </c>
      <c r="E10" s="31">
        <f>C10*28.3/12</f>
        <v>2.3583333333333334</v>
      </c>
      <c r="F10" s="31">
        <f>C10*12/12</f>
        <v>1</v>
      </c>
      <c r="G10" s="31">
        <f t="shared" si="1"/>
        <v>1.5</v>
      </c>
      <c r="H10" s="17"/>
      <c r="I10" s="17"/>
      <c r="J10" s="17"/>
      <c r="K10" s="17"/>
      <c r="L10" s="17"/>
      <c r="M10" s="17"/>
    </row>
    <row r="11" spans="1:16" s="47" customFormat="1" ht="31.5" x14ac:dyDescent="0.25">
      <c r="A11" s="148" t="s">
        <v>68</v>
      </c>
      <c r="B11" s="33"/>
      <c r="C11" s="33">
        <v>1</v>
      </c>
      <c r="D11" s="338">
        <f>C11*5/6</f>
        <v>0.83333333333333337</v>
      </c>
      <c r="E11" s="338">
        <f>C11*5.05/6</f>
        <v>0.84166666666666667</v>
      </c>
      <c r="F11" s="338">
        <f>C11*2/6</f>
        <v>0.33333333333333331</v>
      </c>
      <c r="G11" s="31">
        <f t="shared" si="1"/>
        <v>0.83333333333333337</v>
      </c>
      <c r="H11" s="339"/>
      <c r="I11" s="339"/>
      <c r="J11" s="339"/>
      <c r="K11" s="339"/>
      <c r="L11" s="339"/>
      <c r="M11" s="339"/>
    </row>
    <row r="12" spans="1:16" s="47" customFormat="1" ht="15.75" x14ac:dyDescent="0.25">
      <c r="A12" s="148" t="s">
        <v>63</v>
      </c>
      <c r="B12" s="33"/>
      <c r="C12" s="33">
        <v>2</v>
      </c>
      <c r="D12" s="338">
        <f>C12*45/12</f>
        <v>7.5</v>
      </c>
      <c r="E12" s="338">
        <f>C12*45.48/12</f>
        <v>7.5799999999999992</v>
      </c>
      <c r="F12" s="338">
        <f>C12*12/12</f>
        <v>2</v>
      </c>
      <c r="G12" s="31">
        <f t="shared" si="1"/>
        <v>7.5</v>
      </c>
      <c r="H12" s="339"/>
      <c r="I12" s="339"/>
      <c r="J12" s="339"/>
      <c r="K12" s="339"/>
      <c r="L12" s="339"/>
      <c r="M12" s="339"/>
    </row>
    <row r="13" spans="1:16" x14ac:dyDescent="0.25">
      <c r="A13" s="601" t="s">
        <v>57</v>
      </c>
      <c r="B13" s="665"/>
      <c r="C13" s="665"/>
      <c r="D13" s="38">
        <f t="shared" ref="D13:E13" si="2">SUM(D3:D8)</f>
        <v>35.75</v>
      </c>
      <c r="E13" s="38">
        <f t="shared" si="2"/>
        <v>41.269999999999996</v>
      </c>
      <c r="F13" s="38">
        <f>SUM(F3:F8)</f>
        <v>22.666666666666668</v>
      </c>
      <c r="G13" s="38">
        <f>SUM(G3:G12)</f>
        <v>44.148333333333341</v>
      </c>
      <c r="H13" s="17"/>
      <c r="I13" s="17"/>
      <c r="J13" s="17"/>
      <c r="K13" s="17"/>
      <c r="L13" s="17"/>
      <c r="M13" s="17"/>
    </row>
    <row r="14" spans="1:16" ht="23.45" customHeight="1" x14ac:dyDescent="0.25">
      <c r="A14" s="472"/>
      <c r="B14" s="666"/>
      <c r="C14" s="666"/>
      <c r="D14" s="666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183" customHeight="1" x14ac:dyDescent="0.25">
      <c r="A15" s="667" t="s">
        <v>58</v>
      </c>
      <c r="B15" s="668"/>
      <c r="C15" s="668"/>
      <c r="D15" s="39" t="str">
        <f t="shared" ref="D15:F15" si="3">D1</f>
        <v>Empresa Brasileira de Serviços Hospitalares – EBSERH   
Complexo Hospitalar Universitário da UFPA/EBSERH   
REF.:  EDITAL - SEI Nº PREGÃO 80/2022 REPUBLICAÇÃO /2022 
(UASG 155909)</v>
      </c>
      <c r="E15" s="39" t="str">
        <f t="shared" si="3"/>
        <v xml:space="preserve">UASG 925611 - UNIVERSIDADE ESTADUAL DO PARA;
Pregão Nº 00031/2022 ; Empresa : O S SERVICOS DE VIGILANCIA EIRELI; Data de   Homologação do Pregão Eletrônico:  14/12/2022 </v>
      </c>
      <c r="F15" s="39" t="str">
        <f t="shared" si="3"/>
        <v>Nº Pregão: 122022 / UASG: 928228 / Nº Item: 2; SECRETARIA ESTRATEGICA DE ESTADO DE ARTICULAÇAO DA CIDADANIA; Adj/Hom:	20/10/2022 ; Empresa:	BELEM RIO SEGURANCA LTDA</v>
      </c>
      <c r="G15" s="39" t="s">
        <v>390</v>
      </c>
      <c r="H15" s="39" t="s">
        <v>395</v>
      </c>
      <c r="I15" s="39" t="s">
        <v>396</v>
      </c>
      <c r="J15" s="39" t="str">
        <f>G1</f>
        <v>Mediana</v>
      </c>
      <c r="K15" s="17"/>
      <c r="L15" s="17"/>
      <c r="M15" s="17"/>
      <c r="N15" s="17"/>
      <c r="O15" s="17"/>
      <c r="P15" s="17"/>
    </row>
    <row r="16" spans="1:16" ht="47.25" x14ac:dyDescent="0.25">
      <c r="A16" s="669" t="s">
        <v>59</v>
      </c>
      <c r="B16" s="670"/>
      <c r="C16" s="24" t="s">
        <v>399</v>
      </c>
      <c r="D16" s="24" t="s">
        <v>391</v>
      </c>
      <c r="E16" s="24" t="s">
        <v>392</v>
      </c>
      <c r="F16" s="24" t="s">
        <v>393</v>
      </c>
      <c r="G16" s="24" t="s">
        <v>394</v>
      </c>
      <c r="H16" s="24" t="s">
        <v>397</v>
      </c>
      <c r="I16" s="24" t="s">
        <v>398</v>
      </c>
      <c r="J16" s="40" t="s">
        <v>379</v>
      </c>
      <c r="K16" s="17"/>
      <c r="L16" s="17"/>
      <c r="M16" s="17"/>
      <c r="N16" s="17"/>
      <c r="O16" s="17"/>
      <c r="P16" s="17"/>
    </row>
    <row r="17" spans="1:16" ht="34.5" customHeight="1" x14ac:dyDescent="0.25">
      <c r="A17" s="671" t="s">
        <v>60</v>
      </c>
      <c r="B17" s="672"/>
      <c r="C17" s="33">
        <v>4</v>
      </c>
      <c r="D17" s="41">
        <f>C17*1980/120/14</f>
        <v>4.7142857142857144</v>
      </c>
      <c r="E17" s="42">
        <f>2829.68*C17/60/14</f>
        <v>13.474666666666666</v>
      </c>
      <c r="F17" s="42">
        <f>C17*4800/60/14</f>
        <v>22.857142857142858</v>
      </c>
      <c r="G17" s="42"/>
      <c r="H17" s="42"/>
      <c r="I17" s="42"/>
      <c r="J17" s="42">
        <f>MEDIAN(D17:F17)</f>
        <v>13.474666666666666</v>
      </c>
      <c r="K17" s="17"/>
      <c r="L17" s="17"/>
      <c r="M17" s="17"/>
      <c r="N17" s="17"/>
      <c r="O17" s="17"/>
      <c r="P17" s="17"/>
    </row>
    <row r="18" spans="1:16" ht="34.5" customHeight="1" x14ac:dyDescent="0.25">
      <c r="A18" s="671" t="s">
        <v>61</v>
      </c>
      <c r="B18" s="672"/>
      <c r="C18" s="33">
        <v>48</v>
      </c>
      <c r="D18" s="41">
        <f>C18*5.8/12/14</f>
        <v>1.657142857142857</v>
      </c>
      <c r="E18" s="41">
        <f>C18*8.79/12/14</f>
        <v>2.5114285714285711</v>
      </c>
      <c r="F18" s="41">
        <f>C18*7.2/6/14</f>
        <v>4.1142857142857148</v>
      </c>
      <c r="G18" s="41"/>
      <c r="H18" s="41"/>
      <c r="I18" s="41"/>
      <c r="J18" s="42">
        <f t="shared" ref="J18:J25" si="4">MEDIAN(D18:F18)</f>
        <v>2.5114285714285711</v>
      </c>
      <c r="K18" s="17">
        <f>5*12</f>
        <v>60</v>
      </c>
      <c r="L18" s="17"/>
      <c r="M18" s="17"/>
      <c r="N18" s="17"/>
      <c r="O18" s="17"/>
      <c r="P18" s="17"/>
    </row>
    <row r="19" spans="1:16" ht="63" customHeight="1" x14ac:dyDescent="0.25">
      <c r="A19" s="671" t="s">
        <v>62</v>
      </c>
      <c r="B19" s="672"/>
      <c r="C19" s="33">
        <v>4</v>
      </c>
      <c r="D19" s="41">
        <f>C19*480/60/14</f>
        <v>2.2857142857142856</v>
      </c>
      <c r="E19" s="41">
        <f>C19*454.77/24/14</f>
        <v>5.4139285714285714</v>
      </c>
      <c r="F19" s="41">
        <f>C19*410/48/14</f>
        <v>2.4404761904761902</v>
      </c>
      <c r="G19" s="41"/>
      <c r="H19" s="41"/>
      <c r="I19" s="41"/>
      <c r="J19" s="42">
        <f t="shared" si="4"/>
        <v>2.4404761904761902</v>
      </c>
      <c r="K19" s="17"/>
      <c r="L19" s="17"/>
      <c r="M19" s="17"/>
      <c r="N19" s="17"/>
      <c r="O19" s="17"/>
      <c r="P19" s="17"/>
    </row>
    <row r="20" spans="1:16" ht="33.75" customHeight="1" x14ac:dyDescent="0.25">
      <c r="A20" s="671" t="s">
        <v>64</v>
      </c>
      <c r="B20" s="672"/>
      <c r="C20" s="33">
        <v>4</v>
      </c>
      <c r="D20" s="41">
        <f>C20*50/60/14</f>
        <v>0.23809523809523811</v>
      </c>
      <c r="E20" s="41">
        <f>C20*50.53/12/14</f>
        <v>1.2030952380952382</v>
      </c>
      <c r="F20" s="41">
        <f>C20*28/12/14</f>
        <v>0.66666666666666674</v>
      </c>
      <c r="G20" s="41"/>
      <c r="H20" s="41"/>
      <c r="I20" s="41"/>
      <c r="J20" s="42">
        <f t="shared" si="4"/>
        <v>0.66666666666666674</v>
      </c>
      <c r="K20" s="17"/>
      <c r="L20" s="17"/>
      <c r="M20" s="17"/>
      <c r="N20" s="17"/>
      <c r="O20" s="17"/>
      <c r="P20" s="17"/>
    </row>
    <row r="21" spans="1:16" ht="47.25" customHeight="1" x14ac:dyDescent="0.25">
      <c r="A21" s="671" t="s">
        <v>65</v>
      </c>
      <c r="B21" s="672"/>
      <c r="C21" s="33">
        <v>14</v>
      </c>
      <c r="D21" s="41">
        <f>C21*82/60/14</f>
        <v>1.3666666666666667</v>
      </c>
      <c r="E21" s="41">
        <f>C21*45.48/12/14</f>
        <v>3.7899999999999996</v>
      </c>
      <c r="F21" s="41">
        <f>(35+15)/12/14</f>
        <v>0.29761904761904762</v>
      </c>
      <c r="G21" s="41"/>
      <c r="H21" s="41"/>
      <c r="I21" s="41"/>
      <c r="J21" s="42">
        <f t="shared" si="4"/>
        <v>1.3666666666666667</v>
      </c>
      <c r="K21" s="17"/>
      <c r="L21" s="17"/>
      <c r="M21" s="17"/>
      <c r="N21" s="17"/>
      <c r="O21" s="17"/>
      <c r="P21" s="17"/>
    </row>
    <row r="22" spans="1:16" ht="31.5" customHeight="1" x14ac:dyDescent="0.25">
      <c r="A22" s="671" t="s">
        <v>67</v>
      </c>
      <c r="B22" s="672"/>
      <c r="C22" s="33">
        <v>4</v>
      </c>
      <c r="D22" s="145">
        <f>C22*420/60/14</f>
        <v>2</v>
      </c>
      <c r="E22" s="41">
        <f>C22*1200/12/14</f>
        <v>28.571428571428573</v>
      </c>
      <c r="F22" s="41">
        <f>C22*900/12/14</f>
        <v>21.428571428571427</v>
      </c>
      <c r="G22" s="41"/>
      <c r="H22" s="41"/>
      <c r="I22" s="41"/>
      <c r="J22" s="42">
        <f t="shared" si="4"/>
        <v>21.428571428571427</v>
      </c>
      <c r="K22" s="17"/>
      <c r="L22" s="17"/>
      <c r="M22" s="17"/>
      <c r="N22" s="17"/>
      <c r="O22" s="17"/>
      <c r="P22" s="17"/>
    </row>
    <row r="23" spans="1:16" ht="31.5" customHeight="1" x14ac:dyDescent="0.25">
      <c r="A23" s="676" t="s">
        <v>389</v>
      </c>
      <c r="B23" s="677"/>
      <c r="C23" s="33">
        <v>4</v>
      </c>
      <c r="D23" s="181"/>
      <c r="E23" s="41"/>
      <c r="F23" s="41"/>
      <c r="G23" s="145">
        <f>C23*9000/12/14</f>
        <v>214.28571428571428</v>
      </c>
      <c r="H23" s="145">
        <f>C23*1358.54/12/14</f>
        <v>32.346190476190472</v>
      </c>
      <c r="I23" s="145">
        <f>C23*7228.98/12/14</f>
        <v>172.11857142857141</v>
      </c>
      <c r="J23" s="42">
        <f>MEDIAN(G23:I23)</f>
        <v>172.11857142857141</v>
      </c>
      <c r="K23" s="678"/>
      <c r="L23" s="678"/>
      <c r="M23" s="17"/>
      <c r="N23" s="17"/>
      <c r="O23" s="17"/>
      <c r="P23" s="17"/>
    </row>
    <row r="24" spans="1:16" ht="30" customHeight="1" x14ac:dyDescent="0.25">
      <c r="A24" s="671" t="s">
        <v>372</v>
      </c>
      <c r="B24" s="672"/>
      <c r="C24" s="33">
        <v>4</v>
      </c>
      <c r="D24" s="41">
        <f>C24*(38.5+15)/12/14</f>
        <v>1.2738095238095237</v>
      </c>
      <c r="E24" s="41">
        <f>C24*55.58/12/14</f>
        <v>1.3233333333333335</v>
      </c>
      <c r="F24" s="41">
        <f>C24*46/12/14</f>
        <v>1.0952380952380953</v>
      </c>
      <c r="G24" s="41"/>
      <c r="H24" s="41"/>
      <c r="I24" s="41"/>
      <c r="J24" s="42">
        <f t="shared" si="4"/>
        <v>1.2738095238095237</v>
      </c>
      <c r="K24" s="17"/>
      <c r="L24" s="17"/>
      <c r="M24" s="17"/>
      <c r="N24" s="17"/>
      <c r="O24" s="17"/>
      <c r="P24" s="17"/>
    </row>
    <row r="25" spans="1:16" ht="41.25" customHeight="1" x14ac:dyDescent="0.25">
      <c r="A25" s="671" t="s">
        <v>69</v>
      </c>
      <c r="B25" s="672"/>
      <c r="C25" s="33">
        <v>12</v>
      </c>
      <c r="D25" s="41">
        <f>C25*10/12/14</f>
        <v>0.7142857142857143</v>
      </c>
      <c r="E25" s="41">
        <f>C25*20.21/12/14</f>
        <v>1.4435714285714287</v>
      </c>
      <c r="F25" s="41">
        <f>C25*22/12/14</f>
        <v>1.5714285714285714</v>
      </c>
      <c r="G25" s="41"/>
      <c r="H25" s="41"/>
      <c r="I25" s="41"/>
      <c r="J25" s="42">
        <f t="shared" si="4"/>
        <v>1.4435714285714287</v>
      </c>
      <c r="K25" s="17"/>
      <c r="L25" s="17"/>
      <c r="M25" s="17"/>
      <c r="N25" s="17"/>
      <c r="O25" s="17"/>
      <c r="P25" s="17"/>
    </row>
    <row r="26" spans="1:16" s="45" customFormat="1" ht="33" customHeight="1" x14ac:dyDescent="0.25">
      <c r="A26" s="667" t="s">
        <v>57</v>
      </c>
      <c r="B26" s="668"/>
      <c r="C26" s="668"/>
      <c r="D26" s="43">
        <f>SUM(D17:D25)</f>
        <v>14.25</v>
      </c>
      <c r="E26" s="43">
        <f>SUM(E17:E25)</f>
        <v>57.731452380952383</v>
      </c>
      <c r="F26" s="43">
        <f>SUM(F17:F25)</f>
        <v>54.471428571428568</v>
      </c>
      <c r="G26" s="43"/>
      <c r="H26" s="43"/>
      <c r="I26" s="43"/>
      <c r="J26" s="43">
        <f>SUM(J17:J25)</f>
        <v>216.72442857142855</v>
      </c>
      <c r="K26" s="44"/>
      <c r="L26" s="44"/>
      <c r="M26" s="44"/>
      <c r="N26" s="44"/>
      <c r="O26" s="44"/>
      <c r="P26" s="44"/>
    </row>
    <row r="27" spans="1:16" x14ac:dyDescent="0.25">
      <c r="B27" s="46"/>
      <c r="C27" s="46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16" x14ac:dyDescent="0.25">
      <c r="B28" s="46"/>
      <c r="C28" s="46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</row>
    <row r="29" spans="1:16" x14ac:dyDescent="0.25">
      <c r="B29" s="46"/>
      <c r="C29" s="46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 x14ac:dyDescent="0.25">
      <c r="B30" s="46"/>
      <c r="C30" s="46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x14ac:dyDescent="0.25">
      <c r="B31" s="46"/>
      <c r="C31" s="46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</row>
    <row r="32" spans="1:16" x14ac:dyDescent="0.25">
      <c r="B32" s="46"/>
      <c r="C32" s="46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2:16" x14ac:dyDescent="0.25">
      <c r="B33" s="46"/>
      <c r="C33" s="46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</row>
    <row r="34" spans="2:16" x14ac:dyDescent="0.25">
      <c r="B34" s="46"/>
      <c r="C34" s="46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</row>
    <row r="35" spans="2:16" x14ac:dyDescent="0.25">
      <c r="B35" s="46"/>
      <c r="C35" s="46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</row>
    <row r="36" spans="2:16" x14ac:dyDescent="0.25">
      <c r="B36" s="46"/>
      <c r="C36" s="46" t="s">
        <v>36</v>
      </c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</row>
    <row r="37" spans="2:16" x14ac:dyDescent="0.25">
      <c r="B37" s="46"/>
      <c r="C37" s="46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</row>
    <row r="38" spans="2:16" x14ac:dyDescent="0.25">
      <c r="B38" s="46"/>
      <c r="C38" s="46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</row>
    <row r="39" spans="2:16" x14ac:dyDescent="0.25">
      <c r="B39" s="46"/>
      <c r="C39" s="46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</row>
  </sheetData>
  <mergeCells count="15">
    <mergeCell ref="A26:C26"/>
    <mergeCell ref="A22:B22"/>
    <mergeCell ref="A24:B24"/>
    <mergeCell ref="A25:B25"/>
    <mergeCell ref="A17:B17"/>
    <mergeCell ref="A18:B18"/>
    <mergeCell ref="A19:B19"/>
    <mergeCell ref="A20:B20"/>
    <mergeCell ref="A21:B21"/>
    <mergeCell ref="A23:B23"/>
    <mergeCell ref="A1:C1"/>
    <mergeCell ref="A13:C13"/>
    <mergeCell ref="A14:D14"/>
    <mergeCell ref="A15:C15"/>
    <mergeCell ref="A16:B16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1"/>
  <sheetViews>
    <sheetView view="pageBreakPreview" zoomScaleNormal="100" zoomScaleSheetLayoutView="100" workbookViewId="0">
      <selection activeCell="F9" sqref="F9"/>
    </sheetView>
  </sheetViews>
  <sheetFormatPr defaultRowHeight="15" x14ac:dyDescent="0.25"/>
  <cols>
    <col min="1" max="1" width="11.7109375" customWidth="1"/>
    <col min="2" max="2" width="14.42578125" customWidth="1"/>
    <col min="3" max="3" width="15.42578125" customWidth="1"/>
    <col min="4" max="4" width="14.140625" customWidth="1"/>
    <col min="5" max="5" width="19.7109375" customWidth="1"/>
    <col min="6" max="6" width="17.28515625" customWidth="1"/>
    <col min="7" max="7" width="18.5703125" bestFit="1" customWidth="1"/>
    <col min="8" max="8" width="17.28515625" customWidth="1"/>
  </cols>
  <sheetData>
    <row r="1" spans="1:8" ht="27.75" customHeight="1" x14ac:dyDescent="0.25">
      <c r="A1" s="673" t="s">
        <v>233</v>
      </c>
      <c r="B1" s="673"/>
      <c r="C1" s="673"/>
      <c r="D1" s="673"/>
      <c r="E1" s="673"/>
      <c r="F1" s="673"/>
      <c r="G1" s="673"/>
      <c r="H1" s="673"/>
    </row>
    <row r="2" spans="1:8" ht="27.75" customHeight="1" x14ac:dyDescent="0.25">
      <c r="A2" s="406" t="s">
        <v>210</v>
      </c>
      <c r="B2" s="407"/>
      <c r="C2" s="407"/>
      <c r="D2" s="408"/>
      <c r="E2" s="21" t="s">
        <v>241</v>
      </c>
      <c r="F2" s="21" t="s">
        <v>242</v>
      </c>
      <c r="G2" s="21" t="s">
        <v>383</v>
      </c>
      <c r="H2" s="21" t="s">
        <v>384</v>
      </c>
    </row>
    <row r="3" spans="1:8" ht="29.25" customHeight="1" x14ac:dyDescent="0.25">
      <c r="A3" s="499" t="s">
        <v>211</v>
      </c>
      <c r="B3" s="499"/>
      <c r="C3" s="499"/>
      <c r="D3" s="499"/>
      <c r="E3" s="117">
        <f>'VIG. DIURNO'!J36/12</f>
        <v>184.43641666666667</v>
      </c>
      <c r="F3" s="117">
        <f>'VIG.  NOTURNO'!J39/12</f>
        <v>227.17391666666666</v>
      </c>
      <c r="G3" s="117">
        <f>'Encarregado DIURNO '!J36/12</f>
        <v>258.99683333333331</v>
      </c>
      <c r="H3" s="117">
        <f>'Encarregado  NOTURNO '!J37/12</f>
        <v>319.08433333333329</v>
      </c>
    </row>
    <row r="4" spans="1:8" ht="32.25" customHeight="1" x14ac:dyDescent="0.25">
      <c r="A4" s="499" t="s">
        <v>368</v>
      </c>
      <c r="B4" s="499"/>
      <c r="C4" s="499"/>
      <c r="D4" s="499"/>
      <c r="E4" s="117">
        <f>'VIG. DIURNO'!J47/12</f>
        <v>35.854439400000004</v>
      </c>
      <c r="F4" s="117">
        <f>'VIG.  NOTURNO'!J50/12</f>
        <v>44.162609400000001</v>
      </c>
      <c r="G4" s="117">
        <f>'Encarregado DIURNO '!J47/12</f>
        <v>50.348984399999999</v>
      </c>
      <c r="H4" s="117">
        <f>'Encarregado  NOTURNO '!J48/12</f>
        <v>62.029994399999985</v>
      </c>
    </row>
    <row r="5" spans="1:8" ht="34.5" customHeight="1" x14ac:dyDescent="0.25">
      <c r="A5" s="674" t="s">
        <v>212</v>
      </c>
      <c r="B5" s="674"/>
      <c r="C5" s="674"/>
      <c r="D5" s="674"/>
      <c r="E5" s="117">
        <f>'VIG. DIURNO'!J63/12</f>
        <v>81.06703503253334</v>
      </c>
      <c r="F5" s="117">
        <f>'VIG.  NOTURNO'!J66/12</f>
        <v>99.851841592533333</v>
      </c>
      <c r="G5" s="117">
        <f>'Encarregado DIURNO '!J63/12</f>
        <v>113.83926092586664</v>
      </c>
      <c r="H5" s="117">
        <f>'Encarregado  NOTURNO '!J64/12</f>
        <v>140.25007260586665</v>
      </c>
    </row>
    <row r="6" spans="1:8" ht="21.75" customHeight="1" x14ac:dyDescent="0.25">
      <c r="A6" s="499" t="s">
        <v>213</v>
      </c>
      <c r="B6" s="499"/>
      <c r="C6" s="499"/>
      <c r="D6" s="499"/>
      <c r="E6" s="117">
        <f>'VIG. DIURNO'!J75/12</f>
        <v>1.125</v>
      </c>
      <c r="F6" s="117">
        <f>'VIG.  NOTURNO'!J78/12</f>
        <v>1.125</v>
      </c>
      <c r="G6" s="117">
        <f>'Encarregado DIURNO '!J75/12</f>
        <v>1.125</v>
      </c>
      <c r="H6" s="117">
        <f>'Encarregado  NOTURNO '!J76/12</f>
        <v>1.125</v>
      </c>
    </row>
    <row r="7" spans="1:8" ht="21.75" customHeight="1" x14ac:dyDescent="0.25">
      <c r="A7" s="675" t="s">
        <v>299</v>
      </c>
      <c r="B7" s="675"/>
      <c r="C7" s="675"/>
      <c r="D7" s="675"/>
      <c r="E7" s="329">
        <f>'VIG. DIURNO'!J76/12</f>
        <v>0.83833333333333337</v>
      </c>
      <c r="F7" s="117">
        <f>'VIG.  NOTURNO'!J79/12</f>
        <v>0.83833333333333337</v>
      </c>
      <c r="G7" s="117">
        <f>'Encarregado DIURNO '!J76/12</f>
        <v>1.1770833333333333</v>
      </c>
      <c r="H7" s="117">
        <f>'Encarregado  NOTURNO '!J77/12</f>
        <v>1.1770833333333333</v>
      </c>
    </row>
    <row r="8" spans="1:8" ht="21.75" customHeight="1" x14ac:dyDescent="0.25">
      <c r="A8" s="675" t="s">
        <v>298</v>
      </c>
      <c r="B8" s="675"/>
      <c r="C8" s="675"/>
      <c r="D8" s="675"/>
      <c r="E8" s="329">
        <f>'VIG. DIURNO'!J77/12</f>
        <v>0.16666666666666666</v>
      </c>
      <c r="F8" s="117">
        <f>'VIG.  NOTURNO'!J80/12</f>
        <v>0.16666666666666666</v>
      </c>
      <c r="G8" s="117">
        <f>'Encarregado DIURNO '!J77/12</f>
        <v>0.16666666666666666</v>
      </c>
      <c r="H8" s="117">
        <f>'Encarregado  NOTURNO '!J78/12</f>
        <v>0.16666666666666666</v>
      </c>
    </row>
    <row r="9" spans="1:8" ht="20.25" customHeight="1" x14ac:dyDescent="0.25">
      <c r="A9" s="499" t="s">
        <v>214</v>
      </c>
      <c r="B9" s="499"/>
      <c r="C9" s="499"/>
      <c r="D9" s="499"/>
      <c r="E9" s="117">
        <f>'VIG. DIURNO'!J100/12</f>
        <v>13.108855201866669</v>
      </c>
      <c r="F9" s="117">
        <f>'VIG.  NOTURNO'!J103/12</f>
        <v>16.146431561866667</v>
      </c>
      <c r="G9" s="117">
        <f>'Encarregado DIURNO '!J100/12</f>
        <v>18.408251728533333</v>
      </c>
      <c r="H9" s="117">
        <f>'Encarregado  NOTURNO '!J101/12</f>
        <v>22.678982808533334</v>
      </c>
    </row>
    <row r="10" spans="1:8" ht="25.5" customHeight="1" x14ac:dyDescent="0.25">
      <c r="A10" s="499" t="s">
        <v>170</v>
      </c>
      <c r="B10" s="499"/>
      <c r="C10" s="499"/>
      <c r="D10" s="499"/>
      <c r="E10" s="117">
        <f>'VIG. DIURNO'!J131/12</f>
        <v>3.6790277777777782</v>
      </c>
      <c r="F10" s="117">
        <f>'VIG.  NOTURNO'!J134/12</f>
        <v>3.6790277777777782</v>
      </c>
      <c r="G10" s="117">
        <f>'Encarregado DIURNO '!J131/12</f>
        <v>0</v>
      </c>
      <c r="H10" s="117">
        <f>'Encarregado  NOTURNO '!J132/12</f>
        <v>0</v>
      </c>
    </row>
    <row r="11" spans="1:8" ht="30.75" customHeight="1" x14ac:dyDescent="0.25">
      <c r="A11" s="601" t="s">
        <v>57</v>
      </c>
      <c r="B11" s="601"/>
      <c r="C11" s="601"/>
      <c r="D11" s="601"/>
      <c r="E11" s="118">
        <f>SUM(E3:E10)</f>
        <v>320.27577407884445</v>
      </c>
      <c r="F11" s="118">
        <f>SUM(F3:F10)</f>
        <v>393.14382699884442</v>
      </c>
      <c r="G11" s="118">
        <f t="shared" ref="G11:H11" si="0">SUM(G3:G10)</f>
        <v>444.06208038773332</v>
      </c>
      <c r="H11" s="118">
        <f t="shared" si="0"/>
        <v>546.51213314773315</v>
      </c>
    </row>
  </sheetData>
  <mergeCells count="11">
    <mergeCell ref="A1:H1"/>
    <mergeCell ref="A11:D11"/>
    <mergeCell ref="A2:D2"/>
    <mergeCell ref="A3:D3"/>
    <mergeCell ref="A4:D4"/>
    <mergeCell ref="A5:D5"/>
    <mergeCell ref="A6:D6"/>
    <mergeCell ref="A9:D9"/>
    <mergeCell ref="A10:D10"/>
    <mergeCell ref="A7:D7"/>
    <mergeCell ref="A8:D8"/>
  </mergeCells>
  <pageMargins left="0.511811024" right="0.511811024" top="0.78740157499999996" bottom="0.78740157499999996" header="0.31496062000000002" footer="0.31496062000000002"/>
  <pageSetup paperSize="9" scale="6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01BF3-3782-441C-A19C-B576A0797B24}">
  <dimension ref="A1:F10"/>
  <sheetViews>
    <sheetView view="pageBreakPreview" zoomScaleNormal="100" zoomScaleSheetLayoutView="100" workbookViewId="0">
      <selection activeCell="K14" sqref="K14"/>
    </sheetView>
  </sheetViews>
  <sheetFormatPr defaultRowHeight="15" x14ac:dyDescent="0.25"/>
  <cols>
    <col min="1" max="1" width="11.7109375" customWidth="1"/>
    <col min="2" max="2" width="14.42578125" customWidth="1"/>
    <col min="3" max="3" width="15.42578125" customWidth="1"/>
    <col min="4" max="4" width="14.140625" customWidth="1"/>
    <col min="5" max="5" width="19.7109375" customWidth="1"/>
    <col min="6" max="6" width="17.28515625" customWidth="1"/>
  </cols>
  <sheetData>
    <row r="1" spans="1:6" ht="27.75" customHeight="1" x14ac:dyDescent="0.25">
      <c r="A1" s="673" t="s">
        <v>233</v>
      </c>
      <c r="B1" s="673"/>
      <c r="C1" s="673"/>
      <c r="D1" s="673"/>
      <c r="E1" s="673"/>
      <c r="F1" s="673"/>
    </row>
    <row r="2" spans="1:6" ht="27.75" customHeight="1" x14ac:dyDescent="0.25">
      <c r="A2" s="406" t="s">
        <v>210</v>
      </c>
      <c r="B2" s="407"/>
      <c r="C2" s="407"/>
      <c r="D2" s="408"/>
      <c r="E2" s="21" t="s">
        <v>377</v>
      </c>
      <c r="F2" s="21" t="s">
        <v>242</v>
      </c>
    </row>
    <row r="3" spans="1:6" ht="29.25" customHeight="1" x14ac:dyDescent="0.25">
      <c r="A3" s="499" t="s">
        <v>211</v>
      </c>
      <c r="B3" s="499"/>
      <c r="C3" s="499"/>
      <c r="D3" s="499"/>
      <c r="E3" s="117">
        <f>'Encarregado DIURNO '!J36/12</f>
        <v>258.99683333333331</v>
      </c>
      <c r="F3" s="117">
        <f>'Encarregado  NOTURNO '!J37/12</f>
        <v>319.08433333333329</v>
      </c>
    </row>
    <row r="4" spans="1:6" ht="32.25" customHeight="1" x14ac:dyDescent="0.25">
      <c r="A4" s="499" t="s">
        <v>368</v>
      </c>
      <c r="B4" s="499"/>
      <c r="C4" s="499"/>
      <c r="D4" s="499"/>
      <c r="E4" s="117">
        <f>'Encarregado DIURNO '!J47/12</f>
        <v>50.348984399999999</v>
      </c>
      <c r="F4" s="117">
        <f>'Encarregado  NOTURNO '!J48/12</f>
        <v>62.029994399999985</v>
      </c>
    </row>
    <row r="5" spans="1:6" ht="34.5" customHeight="1" x14ac:dyDescent="0.25">
      <c r="A5" s="674" t="s">
        <v>212</v>
      </c>
      <c r="B5" s="674"/>
      <c r="C5" s="674"/>
      <c r="D5" s="674"/>
      <c r="E5" s="117">
        <f>'Encarregado DIURNO '!J63/12</f>
        <v>113.83926092586664</v>
      </c>
      <c r="F5" s="117">
        <f>'Encarregado  NOTURNO '!J64/12</f>
        <v>140.25007260586665</v>
      </c>
    </row>
    <row r="6" spans="1:6" ht="21.75" customHeight="1" x14ac:dyDescent="0.25">
      <c r="A6" s="499" t="s">
        <v>213</v>
      </c>
      <c r="B6" s="499"/>
      <c r="C6" s="499"/>
      <c r="D6" s="499"/>
      <c r="E6" s="117">
        <f>'Encarregado DIURNO '!J75/12</f>
        <v>1.125</v>
      </c>
      <c r="F6" s="117">
        <f>'Encarregado  NOTURNO '!J76/12</f>
        <v>1.125</v>
      </c>
    </row>
    <row r="7" spans="1:6" ht="21.75" customHeight="1" x14ac:dyDescent="0.25">
      <c r="A7" s="675" t="s">
        <v>299</v>
      </c>
      <c r="B7" s="675"/>
      <c r="C7" s="675"/>
      <c r="D7" s="675"/>
      <c r="E7" s="117">
        <f>'Encarregado DIURNO '!J76/12</f>
        <v>1.1770833333333333</v>
      </c>
      <c r="F7" s="117">
        <f>'Encarregado  NOTURNO '!J77/12</f>
        <v>1.1770833333333333</v>
      </c>
    </row>
    <row r="8" spans="1:6" ht="21.75" customHeight="1" x14ac:dyDescent="0.25">
      <c r="A8" s="675" t="s">
        <v>298</v>
      </c>
      <c r="B8" s="675"/>
      <c r="C8" s="675"/>
      <c r="D8" s="675"/>
      <c r="E8" s="117">
        <f>'Encarregado DIURNO '!J77/12</f>
        <v>0.16666666666666666</v>
      </c>
      <c r="F8" s="117">
        <f>'Encarregado  NOTURNO '!J78/12</f>
        <v>0.16666666666666666</v>
      </c>
    </row>
    <row r="9" spans="1:6" ht="20.25" customHeight="1" x14ac:dyDescent="0.25">
      <c r="A9" s="499" t="s">
        <v>214</v>
      </c>
      <c r="B9" s="499"/>
      <c r="C9" s="499"/>
      <c r="D9" s="499"/>
      <c r="E9" s="117">
        <f>'Encarregado DIURNO '!J100/12</f>
        <v>18.408251728533333</v>
      </c>
      <c r="F9" s="117">
        <f>'Encarregado  NOTURNO '!J101/12</f>
        <v>22.678982808533334</v>
      </c>
    </row>
    <row r="10" spans="1:6" ht="30.75" customHeight="1" x14ac:dyDescent="0.25">
      <c r="A10" s="601" t="s">
        <v>57</v>
      </c>
      <c r="B10" s="601"/>
      <c r="C10" s="601"/>
      <c r="D10" s="601"/>
      <c r="E10" s="118">
        <f>SUM(E3:E9)</f>
        <v>444.06208038773332</v>
      </c>
      <c r="F10" s="118">
        <f>SUM(F3:F9)</f>
        <v>546.51213314773315</v>
      </c>
    </row>
  </sheetData>
  <mergeCells count="10">
    <mergeCell ref="A1:F1"/>
    <mergeCell ref="A2:D2"/>
    <mergeCell ref="A3:D3"/>
    <mergeCell ref="A4:D4"/>
    <mergeCell ref="A5:D5"/>
    <mergeCell ref="A7:D7"/>
    <mergeCell ref="A8:D8"/>
    <mergeCell ref="A9:D9"/>
    <mergeCell ref="A10:D10"/>
    <mergeCell ref="A6:D6"/>
  </mergeCells>
  <pageMargins left="0.511811024" right="0.511811024" top="0.78740157499999996" bottom="0.78740157499999996" header="0.31496062000000002" footer="0.31496062000000002"/>
  <pageSetup paperSize="9" scale="6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6"/>
  <sheetViews>
    <sheetView view="pageBreakPreview" topLeftCell="B1" zoomScaleNormal="100" zoomScaleSheetLayoutView="100" workbookViewId="0">
      <selection activeCell="C8" sqref="C8"/>
    </sheetView>
  </sheetViews>
  <sheetFormatPr defaultRowHeight="15" x14ac:dyDescent="0.25"/>
  <cols>
    <col min="2" max="2" width="65.140625" customWidth="1"/>
    <col min="3" max="3" width="22.42578125" customWidth="1"/>
    <col min="4" max="4" width="10.28515625" bestFit="1" customWidth="1"/>
  </cols>
  <sheetData>
    <row r="1" spans="1:10" ht="27.6" customHeight="1" x14ac:dyDescent="0.25">
      <c r="A1" s="120"/>
      <c r="B1" s="405" t="s">
        <v>216</v>
      </c>
      <c r="C1" s="405"/>
    </row>
    <row r="2" spans="1:10" s="47" customFormat="1" ht="27" customHeight="1" x14ac:dyDescent="0.25">
      <c r="A2" s="121"/>
      <c r="B2" s="119" t="s">
        <v>2</v>
      </c>
      <c r="C2" s="119" t="s">
        <v>217</v>
      </c>
      <c r="D2" s="122"/>
      <c r="E2" s="122"/>
      <c r="F2" s="122"/>
      <c r="G2" s="122"/>
      <c r="H2" s="122"/>
      <c r="I2" s="122"/>
      <c r="J2" s="122"/>
    </row>
    <row r="3" spans="1:10" ht="27" customHeight="1" x14ac:dyDescent="0.25">
      <c r="A3" s="103" t="s">
        <v>23</v>
      </c>
      <c r="B3" s="123" t="s">
        <v>218</v>
      </c>
      <c r="C3" s="124">
        <f>'QUADRO RESUMO (Enc.)'!G4</f>
        <v>12824.366715358477</v>
      </c>
    </row>
    <row r="4" spans="1:10" ht="36.6" customHeight="1" x14ac:dyDescent="0.25">
      <c r="A4" s="103" t="s">
        <v>30</v>
      </c>
      <c r="B4" s="123" t="s">
        <v>219</v>
      </c>
      <c r="C4" s="124">
        <f>'QUADRO RESUMO (Enc.)'!G5</f>
        <v>15264.32829261599</v>
      </c>
      <c r="G4">
        <f>D4*F4</f>
        <v>0</v>
      </c>
    </row>
    <row r="5" spans="1:10" ht="33.6" customHeight="1" x14ac:dyDescent="0.25">
      <c r="A5" s="103" t="s">
        <v>30</v>
      </c>
      <c r="B5" s="123" t="s">
        <v>245</v>
      </c>
      <c r="C5" s="124">
        <f>'QUADRO RESUMO (Enc.)'!J8</f>
        <v>97543.654349747623</v>
      </c>
      <c r="D5" s="53"/>
    </row>
    <row r="6" spans="1:10" ht="37.9" customHeight="1" x14ac:dyDescent="0.25">
      <c r="A6" s="103" t="s">
        <v>32</v>
      </c>
      <c r="B6" s="123" t="s">
        <v>220</v>
      </c>
      <c r="C6" s="124">
        <f>C5*12</f>
        <v>1170523.8521969714</v>
      </c>
    </row>
  </sheetData>
  <mergeCells count="1">
    <mergeCell ref="B1:C1"/>
  </mergeCells>
  <pageMargins left="0.511811024" right="0.511811024" top="0.78740157499999996" bottom="0.78740157499999996" header="0.31496062000000002" footer="0.31496062000000002"/>
  <pageSetup paperSize="9" scale="9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"/>
  <sheetViews>
    <sheetView topLeftCell="A4" workbookViewId="0">
      <selection activeCell="C3" sqref="C3"/>
    </sheetView>
  </sheetViews>
  <sheetFormatPr defaultRowHeight="15" x14ac:dyDescent="0.25"/>
  <cols>
    <col min="1" max="1" width="29" customWidth="1"/>
    <col min="2" max="2" width="24" customWidth="1"/>
    <col min="3" max="3" width="20.28515625" customWidth="1"/>
    <col min="4" max="4" width="22.42578125" customWidth="1"/>
    <col min="5" max="5" width="29.7109375" customWidth="1"/>
    <col min="6" max="6" width="16.7109375" customWidth="1"/>
  </cols>
  <sheetData>
    <row r="1" spans="1:6" ht="29.25" customHeight="1" x14ac:dyDescent="0.25">
      <c r="A1" t="s">
        <v>221</v>
      </c>
      <c r="B1" t="s">
        <v>222</v>
      </c>
    </row>
    <row r="2" spans="1:6" s="45" customFormat="1" ht="135" customHeight="1" x14ac:dyDescent="0.25">
      <c r="A2" s="125" t="str">
        <f>'Media de custo com mão de obra'!K2</f>
        <v xml:space="preserve"> JORIMA SEGURANCA PRIVADA LTDA ; Pregão Eletrônico Nº 12021 ;  
UASG 170219 - DELEGACIA DA REC.FEDERAL EM SANTAREM/PA ; ITEM 02; Data de homologação:  16/03/2021</v>
      </c>
      <c r="B2" s="126" t="s">
        <v>223</v>
      </c>
      <c r="C2" s="127" t="s">
        <v>224</v>
      </c>
      <c r="D2" s="126" t="s">
        <v>225</v>
      </c>
    </row>
    <row r="3" spans="1:6" ht="107.25" customHeight="1" x14ac:dyDescent="0.25">
      <c r="A3" s="125" t="e">
        <f>'Media de custo com mão de obra'!#REF!</f>
        <v>#REF!</v>
      </c>
      <c r="B3" s="112" t="s">
        <v>226</v>
      </c>
      <c r="C3" s="112" t="s">
        <v>227</v>
      </c>
      <c r="D3" s="112" t="s">
        <v>228</v>
      </c>
      <c r="E3" s="126" t="s">
        <v>229</v>
      </c>
      <c r="F3" s="112" t="s">
        <v>230</v>
      </c>
    </row>
    <row r="4" spans="1:6" ht="105" x14ac:dyDescent="0.25">
      <c r="A4" s="128" t="str">
        <f>'Media de custo com mão de obra'!L2</f>
        <v>POLO SEGURANCA ESPECIALIZADA EIRELI;  	
Pregão Eletrônico Nº 22021 -  
UASG 495300 - COMPANHIA DE PESQUISA DE RECURSOS MINERAIS; ITEM  01;   Homologação : 19/03/2021</v>
      </c>
      <c r="B4" s="112" t="s">
        <v>231</v>
      </c>
      <c r="C4" s="128" t="s">
        <v>232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94973-BAEC-442D-83D0-DB4EDAA28E40}">
  <dimension ref="A1:L7"/>
  <sheetViews>
    <sheetView view="pageBreakPreview" zoomScaleNormal="100" zoomScaleSheetLayoutView="100" workbookViewId="0">
      <selection activeCell="M5" sqref="M5"/>
    </sheetView>
  </sheetViews>
  <sheetFormatPr defaultRowHeight="15" x14ac:dyDescent="0.25"/>
  <cols>
    <col min="1" max="1" width="7.5703125" customWidth="1"/>
    <col min="2" max="2" width="10.28515625" customWidth="1"/>
    <col min="3" max="3" width="22.85546875" customWidth="1"/>
    <col min="4" max="4" width="11.7109375" customWidth="1"/>
    <col min="5" max="5" width="11.140625" customWidth="1"/>
    <col min="6" max="6" width="15.85546875" customWidth="1"/>
    <col min="7" max="7" width="10.7109375" customWidth="1"/>
    <col min="8" max="8" width="8" customWidth="1"/>
    <col min="9" max="9" width="17.140625" customWidth="1"/>
    <col min="10" max="10" width="18.7109375" customWidth="1"/>
    <col min="11" max="11" width="18.140625" customWidth="1"/>
  </cols>
  <sheetData>
    <row r="1" spans="1:12" ht="19.899999999999999" customHeight="1" x14ac:dyDescent="0.25">
      <c r="A1" s="400" t="s">
        <v>192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</row>
    <row r="2" spans="1:12" s="47" customFormat="1" ht="48.6" customHeight="1" x14ac:dyDescent="0.25">
      <c r="A2" s="402" t="s">
        <v>193</v>
      </c>
      <c r="B2" s="403"/>
      <c r="C2" s="404"/>
      <c r="D2" s="405" t="s">
        <v>194</v>
      </c>
      <c r="E2" s="405"/>
      <c r="F2" s="160" t="s">
        <v>195</v>
      </c>
      <c r="G2" s="405" t="s">
        <v>196</v>
      </c>
      <c r="H2" s="405"/>
      <c r="I2" s="160" t="s">
        <v>197</v>
      </c>
      <c r="J2" s="160" t="s">
        <v>246</v>
      </c>
      <c r="K2" s="160" t="s">
        <v>378</v>
      </c>
    </row>
    <row r="3" spans="1:12" ht="39" customHeight="1" x14ac:dyDescent="0.25">
      <c r="A3" s="388" t="s">
        <v>1</v>
      </c>
      <c r="B3" s="402" t="s">
        <v>199</v>
      </c>
      <c r="C3" s="404"/>
      <c r="D3" s="405" t="s">
        <v>200</v>
      </c>
      <c r="E3" s="405"/>
      <c r="F3" s="160" t="s">
        <v>201</v>
      </c>
      <c r="G3" s="405" t="s">
        <v>202</v>
      </c>
      <c r="H3" s="405"/>
      <c r="I3" s="160" t="s">
        <v>203</v>
      </c>
      <c r="J3" s="160" t="s">
        <v>204</v>
      </c>
      <c r="K3" s="160" t="s">
        <v>248</v>
      </c>
    </row>
    <row r="4" spans="1:12" ht="90" customHeight="1" x14ac:dyDescent="0.25">
      <c r="A4" s="161" t="s">
        <v>205</v>
      </c>
      <c r="B4" s="419" t="str">
        <f>'VIG. DIURNO'!A13</f>
        <v xml:space="preserve">Vigilância Armada  - 12 (doze) horas diurnas, de segunda-feira a domingo, envolvendo 2 (dois) vigilantes em turnos de 12 (doze) por 36 (trinta e seis) horas.
</v>
      </c>
      <c r="C4" s="420"/>
      <c r="D4" s="410">
        <f>'VIG. DIURNO'!J166</f>
        <v>6412.1833576792387</v>
      </c>
      <c r="E4" s="409"/>
      <c r="F4" s="154">
        <v>2</v>
      </c>
      <c r="G4" s="411">
        <f>D4*F4</f>
        <v>12824.366715358477</v>
      </c>
      <c r="H4" s="412"/>
      <c r="I4" s="154">
        <v>3</v>
      </c>
      <c r="J4" s="105">
        <f>G4*I4</f>
        <v>38473.100146075434</v>
      </c>
      <c r="K4" s="105">
        <f>J4*12</f>
        <v>461677.20175290521</v>
      </c>
    </row>
    <row r="5" spans="1:12" ht="95.45" customHeight="1" x14ac:dyDescent="0.25">
      <c r="A5" s="161" t="s">
        <v>215</v>
      </c>
      <c r="B5" s="419" t="str">
        <f>'VIG.  NOTURNO'!A13</f>
        <v xml:space="preserve">Vigilância Armada  - 12 (doze) horas noturnas, de segunda-feira a domingo, envolvendo 2 (dois) vigilantes em turnos de 12 (doze) por 36 (trinta e seis) horas.
</v>
      </c>
      <c r="C5" s="420"/>
      <c r="D5" s="413">
        <f>'VIG.  NOTURNO'!J169</f>
        <v>7632.164146307995</v>
      </c>
      <c r="E5" s="412"/>
      <c r="F5" s="154">
        <v>2</v>
      </c>
      <c r="G5" s="411">
        <f>D5*F5</f>
        <v>15264.32829261599</v>
      </c>
      <c r="H5" s="412"/>
      <c r="I5" s="154">
        <v>2</v>
      </c>
      <c r="J5" s="153">
        <f>G5*I5</f>
        <v>30528.65658523198</v>
      </c>
      <c r="K5" s="105">
        <f>J5*12</f>
        <v>366343.87902278377</v>
      </c>
    </row>
    <row r="6" spans="1:12" ht="24" customHeight="1" x14ac:dyDescent="0.25">
      <c r="A6" s="406" t="s">
        <v>150</v>
      </c>
      <c r="B6" s="407"/>
      <c r="C6" s="407"/>
      <c r="D6" s="407"/>
      <c r="E6" s="407"/>
      <c r="F6" s="407"/>
      <c r="G6" s="407"/>
      <c r="H6" s="407"/>
      <c r="I6" s="408"/>
      <c r="J6" s="138">
        <f>SUM(J4:J5)</f>
        <v>69001.756731307411</v>
      </c>
      <c r="K6" s="139">
        <f>SUM(K4:K5)</f>
        <v>828021.08077568898</v>
      </c>
      <c r="L6" s="53"/>
    </row>
    <row r="7" spans="1:12" x14ac:dyDescent="0.25">
      <c r="L7" s="351"/>
    </row>
  </sheetData>
  <mergeCells count="14">
    <mergeCell ref="A1:K1"/>
    <mergeCell ref="A2:C2"/>
    <mergeCell ref="D2:E2"/>
    <mergeCell ref="G2:H2"/>
    <mergeCell ref="D3:E3"/>
    <mergeCell ref="G3:H3"/>
    <mergeCell ref="B3:C3"/>
    <mergeCell ref="A6:I6"/>
    <mergeCell ref="B4:C4"/>
    <mergeCell ref="D4:E4"/>
    <mergeCell ref="G4:H4"/>
    <mergeCell ref="B5:C5"/>
    <mergeCell ref="D5:E5"/>
    <mergeCell ref="G5:H5"/>
  </mergeCells>
  <pageMargins left="0.511811024" right="0.511811024" top="0.78740157499999996" bottom="0.78740157499999996" header="0.31496062000000002" footer="0.31496062000000002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70"/>
  <sheetViews>
    <sheetView view="pageBreakPreview" topLeftCell="A136" zoomScaleNormal="100" zoomScaleSheetLayoutView="100" workbookViewId="0">
      <selection activeCell="A154" sqref="A154:J154"/>
    </sheetView>
  </sheetViews>
  <sheetFormatPr defaultRowHeight="15" x14ac:dyDescent="0.25"/>
  <cols>
    <col min="1" max="1" width="7.5703125" customWidth="1"/>
    <col min="2" max="2" width="10.28515625" customWidth="1"/>
    <col min="3" max="3" width="22.85546875" customWidth="1"/>
    <col min="4" max="4" width="11.7109375" customWidth="1"/>
    <col min="5" max="5" width="11.140625" customWidth="1"/>
    <col min="6" max="6" width="13.42578125" customWidth="1"/>
    <col min="7" max="7" width="10.7109375" customWidth="1"/>
    <col min="8" max="8" width="8" customWidth="1"/>
    <col min="9" max="9" width="17.140625" style="372" customWidth="1"/>
    <col min="10" max="10" width="21.5703125" style="372" customWidth="1"/>
    <col min="11" max="11" width="9.5703125" bestFit="1" customWidth="1"/>
  </cols>
  <sheetData>
    <row r="1" spans="1:10" x14ac:dyDescent="0.25">
      <c r="A1" s="421" t="s">
        <v>70</v>
      </c>
      <c r="B1" s="421"/>
      <c r="C1" s="421"/>
      <c r="D1" s="421"/>
      <c r="E1" s="421"/>
      <c r="F1" s="421"/>
      <c r="G1" s="421"/>
      <c r="H1" s="421"/>
      <c r="I1" s="421"/>
      <c r="J1" s="421"/>
    </row>
    <row r="2" spans="1:10" s="47" customFormat="1" ht="27" customHeight="1" x14ac:dyDescent="0.25">
      <c r="A2" s="422" t="s">
        <v>256</v>
      </c>
      <c r="B2" s="422"/>
      <c r="C2" s="422"/>
      <c r="D2" s="422"/>
      <c r="E2" s="422"/>
      <c r="F2" s="422"/>
      <c r="G2" s="422"/>
      <c r="H2" s="422"/>
      <c r="I2" s="422"/>
      <c r="J2" s="422"/>
    </row>
    <row r="3" spans="1:10" ht="27" customHeight="1" x14ac:dyDescent="0.25">
      <c r="A3" s="423" t="s">
        <v>71</v>
      </c>
      <c r="B3" s="424"/>
      <c r="C3" s="424"/>
      <c r="D3" s="424"/>
      <c r="E3" s="424"/>
      <c r="F3" s="424"/>
      <c r="G3" s="424"/>
      <c r="H3" s="424"/>
      <c r="I3" s="424"/>
      <c r="J3" s="425"/>
    </row>
    <row r="4" spans="1:10" x14ac:dyDescent="0.25">
      <c r="A4" s="426"/>
      <c r="B4" s="427"/>
      <c r="C4" s="427"/>
      <c r="D4" s="427"/>
      <c r="E4" s="427"/>
      <c r="F4" s="427"/>
      <c r="G4" s="427"/>
      <c r="H4" s="427"/>
      <c r="I4" s="427"/>
      <c r="J4" s="428"/>
    </row>
    <row r="5" spans="1:10" x14ac:dyDescent="0.25">
      <c r="A5" s="429" t="s">
        <v>72</v>
      </c>
      <c r="B5" s="429"/>
      <c r="C5" s="429"/>
      <c r="D5" s="429"/>
      <c r="E5" s="429"/>
      <c r="F5" s="429"/>
      <c r="G5" s="429"/>
      <c r="H5" s="429"/>
      <c r="I5" s="429"/>
      <c r="J5" s="429"/>
    </row>
    <row r="6" spans="1:10" x14ac:dyDescent="0.25">
      <c r="A6" s="49" t="s">
        <v>23</v>
      </c>
      <c r="B6" s="430" t="s">
        <v>73</v>
      </c>
      <c r="C6" s="431"/>
      <c r="D6" s="431"/>
      <c r="E6" s="431"/>
      <c r="F6" s="432"/>
      <c r="G6" s="433"/>
      <c r="H6" s="434"/>
      <c r="I6" s="434"/>
      <c r="J6" s="435"/>
    </row>
    <row r="7" spans="1:10" x14ac:dyDescent="0.25">
      <c r="A7" s="49" t="s">
        <v>30</v>
      </c>
      <c r="B7" s="442" t="s">
        <v>74</v>
      </c>
      <c r="C7" s="443"/>
      <c r="D7" s="443"/>
      <c r="E7" s="443"/>
      <c r="F7" s="444"/>
      <c r="G7" s="445" t="s">
        <v>75</v>
      </c>
      <c r="H7" s="446"/>
      <c r="I7" s="446"/>
      <c r="J7" s="447"/>
    </row>
    <row r="8" spans="1:10" x14ac:dyDescent="0.25">
      <c r="A8" s="49" t="s">
        <v>32</v>
      </c>
      <c r="B8" s="442" t="s">
        <v>76</v>
      </c>
      <c r="C8" s="443"/>
      <c r="D8" s="443"/>
      <c r="E8" s="443"/>
      <c r="F8" s="444"/>
      <c r="G8" s="445" t="s">
        <v>257</v>
      </c>
      <c r="H8" s="446"/>
      <c r="I8" s="446"/>
      <c r="J8" s="447"/>
    </row>
    <row r="9" spans="1:10" x14ac:dyDescent="0.25">
      <c r="A9" s="49" t="s">
        <v>25</v>
      </c>
      <c r="B9" s="430" t="s">
        <v>78</v>
      </c>
      <c r="C9" s="431"/>
      <c r="D9" s="431"/>
      <c r="E9" s="431"/>
      <c r="F9" s="432"/>
      <c r="G9" s="445">
        <v>12</v>
      </c>
      <c r="H9" s="446"/>
      <c r="I9" s="446"/>
      <c r="J9" s="447"/>
    </row>
    <row r="10" spans="1:10" x14ac:dyDescent="0.25">
      <c r="A10" s="426"/>
      <c r="B10" s="427"/>
      <c r="C10" s="427"/>
      <c r="D10" s="427"/>
      <c r="E10" s="427"/>
      <c r="F10" s="427"/>
      <c r="G10" s="427"/>
      <c r="H10" s="427"/>
      <c r="I10" s="427"/>
      <c r="J10" s="428"/>
    </row>
    <row r="11" spans="1:10" x14ac:dyDescent="0.25">
      <c r="A11" s="436" t="s">
        <v>79</v>
      </c>
      <c r="B11" s="437"/>
      <c r="C11" s="437"/>
      <c r="D11" s="437"/>
      <c r="E11" s="437"/>
      <c r="F11" s="437"/>
      <c r="G11" s="437"/>
      <c r="H11" s="437"/>
      <c r="I11" s="437"/>
      <c r="J11" s="438"/>
    </row>
    <row r="12" spans="1:10" ht="25.5" x14ac:dyDescent="0.25">
      <c r="A12" s="439" t="s">
        <v>80</v>
      </c>
      <c r="B12" s="439"/>
      <c r="C12" s="439"/>
      <c r="D12" s="439"/>
      <c r="E12" s="439"/>
      <c r="F12" s="439"/>
      <c r="G12" s="439"/>
      <c r="H12" s="439" t="s">
        <v>81</v>
      </c>
      <c r="I12" s="439"/>
      <c r="J12" s="352" t="s">
        <v>82</v>
      </c>
    </row>
    <row r="13" spans="1:10" ht="39" customHeight="1" x14ac:dyDescent="0.25">
      <c r="A13" s="440" t="s">
        <v>83</v>
      </c>
      <c r="B13" s="440"/>
      <c r="C13" s="440"/>
      <c r="D13" s="440"/>
      <c r="E13" s="440"/>
      <c r="F13" s="440"/>
      <c r="G13" s="440"/>
      <c r="H13" s="441" t="s">
        <v>84</v>
      </c>
      <c r="I13" s="441"/>
      <c r="J13" s="349">
        <v>3</v>
      </c>
    </row>
    <row r="14" spans="1:10" x14ac:dyDescent="0.25">
      <c r="A14" s="426"/>
      <c r="B14" s="427"/>
      <c r="C14" s="427"/>
      <c r="D14" s="427"/>
      <c r="E14" s="427"/>
      <c r="F14" s="427"/>
      <c r="G14" s="427"/>
      <c r="H14" s="427"/>
      <c r="I14" s="427"/>
      <c r="J14" s="428"/>
    </row>
    <row r="15" spans="1:10" x14ac:dyDescent="0.25">
      <c r="A15" s="451" t="s">
        <v>85</v>
      </c>
      <c r="B15" s="452"/>
      <c r="C15" s="452"/>
      <c r="D15" s="452"/>
      <c r="E15" s="452"/>
      <c r="F15" s="452"/>
      <c r="G15" s="452"/>
      <c r="H15" s="452"/>
      <c r="I15" s="452"/>
      <c r="J15" s="453"/>
    </row>
    <row r="16" spans="1:10" x14ac:dyDescent="0.25">
      <c r="A16" s="430" t="s">
        <v>86</v>
      </c>
      <c r="B16" s="431"/>
      <c r="C16" s="431"/>
      <c r="D16" s="431"/>
      <c r="E16" s="431"/>
      <c r="F16" s="431"/>
      <c r="G16" s="431"/>
      <c r="H16" s="431"/>
      <c r="I16" s="431"/>
      <c r="J16" s="432"/>
    </row>
    <row r="17" spans="1:10" x14ac:dyDescent="0.25">
      <c r="A17" s="430" t="s">
        <v>87</v>
      </c>
      <c r="B17" s="431"/>
      <c r="C17" s="431"/>
      <c r="D17" s="431"/>
      <c r="E17" s="431"/>
      <c r="F17" s="431"/>
      <c r="G17" s="431"/>
      <c r="H17" s="431"/>
      <c r="I17" s="431"/>
      <c r="J17" s="432"/>
    </row>
    <row r="18" spans="1:10" x14ac:dyDescent="0.25">
      <c r="A18" s="454" t="s">
        <v>88</v>
      </c>
      <c r="B18" s="454"/>
      <c r="C18" s="454"/>
      <c r="D18" s="454"/>
      <c r="E18" s="454"/>
      <c r="F18" s="454"/>
      <c r="G18" s="454"/>
      <c r="H18" s="454"/>
      <c r="I18" s="454"/>
      <c r="J18" s="454"/>
    </row>
    <row r="19" spans="1:10" s="122" customFormat="1" ht="55.9" customHeight="1" x14ac:dyDescent="0.25">
      <c r="A19" s="133">
        <v>1</v>
      </c>
      <c r="B19" s="448" t="s">
        <v>89</v>
      </c>
      <c r="C19" s="448"/>
      <c r="D19" s="448"/>
      <c r="E19" s="448"/>
      <c r="F19" s="448"/>
      <c r="G19" s="448"/>
      <c r="H19" s="455" t="s">
        <v>90</v>
      </c>
      <c r="I19" s="455"/>
      <c r="J19" s="455"/>
    </row>
    <row r="20" spans="1:10" x14ac:dyDescent="0.25">
      <c r="A20" s="52">
        <v>2</v>
      </c>
      <c r="B20" s="448" t="s">
        <v>91</v>
      </c>
      <c r="C20" s="448"/>
      <c r="D20" s="448"/>
      <c r="E20" s="448"/>
      <c r="F20" s="448"/>
      <c r="G20" s="448"/>
      <c r="H20" s="440" t="s">
        <v>92</v>
      </c>
      <c r="I20" s="440"/>
      <c r="J20" s="440"/>
    </row>
    <row r="21" spans="1:10" ht="18" customHeight="1" x14ac:dyDescent="0.25">
      <c r="A21" s="52">
        <v>3</v>
      </c>
      <c r="B21" s="448" t="s">
        <v>93</v>
      </c>
      <c r="C21" s="448"/>
      <c r="D21" s="448"/>
      <c r="E21" s="448"/>
      <c r="F21" s="448"/>
      <c r="G21" s="448"/>
      <c r="H21" s="449">
        <v>1702.49</v>
      </c>
      <c r="I21" s="450"/>
      <c r="J21" s="450"/>
    </row>
    <row r="22" spans="1:10" x14ac:dyDescent="0.25">
      <c r="A22" s="52">
        <v>4</v>
      </c>
      <c r="B22" s="448" t="s">
        <v>94</v>
      </c>
      <c r="C22" s="448"/>
      <c r="D22" s="448"/>
      <c r="E22" s="448"/>
      <c r="F22" s="448"/>
      <c r="G22" s="448"/>
      <c r="H22" s="440" t="s">
        <v>95</v>
      </c>
      <c r="I22" s="441"/>
      <c r="J22" s="441"/>
    </row>
    <row r="23" spans="1:10" x14ac:dyDescent="0.25">
      <c r="A23" s="52">
        <v>5</v>
      </c>
      <c r="B23" s="448" t="s">
        <v>96</v>
      </c>
      <c r="C23" s="448"/>
      <c r="D23" s="448"/>
      <c r="E23" s="448"/>
      <c r="F23" s="448"/>
      <c r="G23" s="448"/>
      <c r="H23" s="456">
        <v>44197</v>
      </c>
      <c r="I23" s="441"/>
      <c r="J23" s="441"/>
    </row>
    <row r="24" spans="1:10" x14ac:dyDescent="0.25">
      <c r="A24" s="52">
        <v>6</v>
      </c>
      <c r="B24" s="448" t="s">
        <v>97</v>
      </c>
      <c r="C24" s="448"/>
      <c r="D24" s="448"/>
      <c r="E24" s="448"/>
      <c r="F24" s="448"/>
      <c r="G24" s="448"/>
      <c r="H24" s="450"/>
      <c r="I24" s="450"/>
      <c r="J24" s="450"/>
    </row>
    <row r="25" spans="1:10" x14ac:dyDescent="0.25">
      <c r="A25" s="52">
        <v>7</v>
      </c>
      <c r="B25" s="448" t="s">
        <v>98</v>
      </c>
      <c r="C25" s="448"/>
      <c r="D25" s="448"/>
      <c r="E25" s="448"/>
      <c r="F25" s="448"/>
      <c r="G25" s="448"/>
      <c r="H25" s="450"/>
      <c r="I25" s="450"/>
      <c r="J25" s="450"/>
    </row>
    <row r="26" spans="1:10" x14ac:dyDescent="0.25">
      <c r="A26" s="52">
        <v>8</v>
      </c>
      <c r="B26" s="448" t="s">
        <v>99</v>
      </c>
      <c r="C26" s="448"/>
      <c r="D26" s="448"/>
      <c r="E26" s="448"/>
      <c r="F26" s="448"/>
      <c r="G26" s="448"/>
      <c r="H26" s="450"/>
      <c r="I26" s="450"/>
      <c r="J26" s="450"/>
    </row>
    <row r="27" spans="1:10" x14ac:dyDescent="0.25">
      <c r="A27" s="52">
        <v>9</v>
      </c>
      <c r="B27" s="430" t="s">
        <v>100</v>
      </c>
      <c r="C27" s="431"/>
      <c r="D27" s="431"/>
      <c r="E27" s="431"/>
      <c r="F27" s="431"/>
      <c r="G27" s="432"/>
      <c r="H27" s="450"/>
      <c r="I27" s="450"/>
      <c r="J27" s="450"/>
    </row>
    <row r="28" spans="1:10" x14ac:dyDescent="0.25">
      <c r="A28" s="52">
        <v>10</v>
      </c>
      <c r="B28" s="448" t="s">
        <v>101</v>
      </c>
      <c r="C28" s="448"/>
      <c r="D28" s="448"/>
      <c r="E28" s="448"/>
      <c r="F28" s="448"/>
      <c r="G28" s="448"/>
      <c r="H28" s="450"/>
      <c r="I28" s="450"/>
      <c r="J28" s="450"/>
    </row>
    <row r="29" spans="1:10" x14ac:dyDescent="0.25">
      <c r="A29" s="426"/>
      <c r="B29" s="427"/>
      <c r="C29" s="427"/>
      <c r="D29" s="427"/>
      <c r="E29" s="427"/>
      <c r="F29" s="427"/>
      <c r="G29" s="427"/>
      <c r="H29" s="427"/>
      <c r="I29" s="427"/>
      <c r="J29" s="428"/>
    </row>
    <row r="30" spans="1:10" ht="21" customHeight="1" x14ac:dyDescent="0.25">
      <c r="A30" s="54"/>
      <c r="B30" s="55"/>
      <c r="C30" s="55"/>
      <c r="D30" s="55"/>
      <c r="E30" s="55"/>
      <c r="F30" s="55"/>
      <c r="G30" s="55"/>
      <c r="H30" s="55"/>
      <c r="I30" s="373"/>
      <c r="J30" s="328"/>
    </row>
    <row r="31" spans="1:10" x14ac:dyDescent="0.25">
      <c r="A31" s="465" t="s">
        <v>102</v>
      </c>
      <c r="B31" s="465"/>
      <c r="C31" s="465"/>
      <c r="D31" s="465"/>
      <c r="E31" s="465"/>
      <c r="F31" s="465"/>
      <c r="G31" s="465"/>
      <c r="H31" s="465"/>
      <c r="I31" s="465"/>
      <c r="J31" s="466"/>
    </row>
    <row r="32" spans="1:10" x14ac:dyDescent="0.25">
      <c r="A32" s="57">
        <v>1</v>
      </c>
      <c r="B32" s="445" t="s">
        <v>103</v>
      </c>
      <c r="C32" s="446"/>
      <c r="D32" s="446"/>
      <c r="E32" s="446"/>
      <c r="F32" s="446"/>
      <c r="G32" s="446"/>
      <c r="H32" s="446"/>
      <c r="I32" s="447"/>
      <c r="J32" s="353" t="s">
        <v>15</v>
      </c>
    </row>
    <row r="33" spans="1:10" x14ac:dyDescent="0.25">
      <c r="A33" s="52" t="s">
        <v>23</v>
      </c>
      <c r="B33" s="430" t="s">
        <v>104</v>
      </c>
      <c r="C33" s="431"/>
      <c r="D33" s="431"/>
      <c r="E33" s="431"/>
      <c r="F33" s="431"/>
      <c r="G33" s="431"/>
      <c r="H33" s="431"/>
      <c r="I33" s="432"/>
      <c r="J33" s="354">
        <f>H21</f>
        <v>1702.49</v>
      </c>
    </row>
    <row r="34" spans="1:10" ht="18" customHeight="1" x14ac:dyDescent="0.25">
      <c r="A34" s="52" t="s">
        <v>30</v>
      </c>
      <c r="B34" s="430" t="s">
        <v>105</v>
      </c>
      <c r="C34" s="431"/>
      <c r="D34" s="431"/>
      <c r="E34" s="431"/>
      <c r="F34" s="431"/>
      <c r="G34" s="431"/>
      <c r="H34" s="431"/>
      <c r="I34" s="432"/>
      <c r="J34" s="348">
        <f>30%*J33</f>
        <v>510.74699999999996</v>
      </c>
    </row>
    <row r="35" spans="1:10" ht="26.25" customHeight="1" x14ac:dyDescent="0.25">
      <c r="A35" s="59" t="s">
        <v>32</v>
      </c>
      <c r="B35" s="442" t="s">
        <v>236</v>
      </c>
      <c r="C35" s="443"/>
      <c r="D35" s="443"/>
      <c r="E35" s="443"/>
      <c r="F35" s="443"/>
      <c r="G35" s="443"/>
      <c r="H35" s="443"/>
      <c r="I35" s="444"/>
      <c r="J35" s="355">
        <f>12*H28/12/2</f>
        <v>0</v>
      </c>
    </row>
    <row r="36" spans="1:10" ht="22.5" customHeight="1" x14ac:dyDescent="0.25">
      <c r="A36" s="61" t="s">
        <v>106</v>
      </c>
      <c r="B36" s="445" t="s">
        <v>107</v>
      </c>
      <c r="C36" s="446"/>
      <c r="D36" s="446"/>
      <c r="E36" s="446"/>
      <c r="F36" s="446"/>
      <c r="G36" s="446"/>
      <c r="H36" s="446"/>
      <c r="I36" s="447"/>
      <c r="J36" s="356">
        <f>SUM(J33:J35)</f>
        <v>2213.2370000000001</v>
      </c>
    </row>
    <row r="37" spans="1:10" x14ac:dyDescent="0.25">
      <c r="A37" s="457"/>
      <c r="B37" s="458"/>
      <c r="C37" s="458"/>
      <c r="D37" s="458"/>
      <c r="E37" s="458"/>
      <c r="F37" s="458"/>
      <c r="G37" s="458"/>
      <c r="H37" s="458"/>
      <c r="I37" s="458"/>
      <c r="J37" s="458"/>
    </row>
    <row r="38" spans="1:10" x14ac:dyDescent="0.25">
      <c r="A38" s="459" t="s">
        <v>108</v>
      </c>
      <c r="B38" s="459"/>
      <c r="C38" s="459"/>
      <c r="D38" s="459"/>
      <c r="E38" s="459"/>
      <c r="F38" s="459"/>
      <c r="G38" s="459"/>
      <c r="H38" s="459"/>
      <c r="I38" s="459"/>
      <c r="J38" s="459"/>
    </row>
    <row r="39" spans="1:10" x14ac:dyDescent="0.25">
      <c r="A39" s="460"/>
      <c r="B39" s="460"/>
      <c r="C39" s="460"/>
      <c r="D39" s="460"/>
      <c r="E39" s="460"/>
      <c r="F39" s="460"/>
      <c r="G39" s="460"/>
      <c r="H39" s="460"/>
      <c r="I39" s="460"/>
      <c r="J39" s="460"/>
    </row>
    <row r="40" spans="1:10" x14ac:dyDescent="0.25">
      <c r="A40" s="461"/>
      <c r="B40" s="462"/>
      <c r="C40" s="462"/>
      <c r="D40" s="462"/>
      <c r="E40" s="462"/>
      <c r="F40" s="462"/>
      <c r="G40" s="462"/>
      <c r="H40" s="462"/>
      <c r="I40" s="462"/>
      <c r="J40" s="462"/>
    </row>
    <row r="41" spans="1:10" x14ac:dyDescent="0.25">
      <c r="A41" s="463" t="s">
        <v>109</v>
      </c>
      <c r="B41" s="463"/>
      <c r="C41" s="463"/>
      <c r="D41" s="463"/>
      <c r="E41" s="463"/>
      <c r="F41" s="463"/>
      <c r="G41" s="463"/>
      <c r="H41" s="463"/>
      <c r="I41" s="463"/>
      <c r="J41" s="464"/>
    </row>
    <row r="42" spans="1:10" x14ac:dyDescent="0.25">
      <c r="A42" s="63"/>
      <c r="B42" s="64"/>
      <c r="C42" s="64"/>
      <c r="D42" s="64"/>
      <c r="E42" s="64"/>
      <c r="F42" s="64"/>
      <c r="G42" s="64"/>
      <c r="H42" s="64"/>
      <c r="I42" s="357"/>
      <c r="J42" s="357"/>
    </row>
    <row r="43" spans="1:10" x14ac:dyDescent="0.25">
      <c r="A43" s="468" t="s">
        <v>110</v>
      </c>
      <c r="B43" s="469"/>
      <c r="C43" s="469"/>
      <c r="D43" s="469"/>
      <c r="E43" s="469"/>
      <c r="F43" s="469"/>
      <c r="G43" s="469"/>
      <c r="H43" s="469"/>
      <c r="I43" s="469"/>
      <c r="J43" s="469"/>
    </row>
    <row r="44" spans="1:10" x14ac:dyDescent="0.25">
      <c r="A44" s="7" t="s">
        <v>117</v>
      </c>
      <c r="B44" s="445" t="s">
        <v>118</v>
      </c>
      <c r="C44" s="446"/>
      <c r="D44" s="446"/>
      <c r="E44" s="446"/>
      <c r="F44" s="446"/>
      <c r="G44" s="446"/>
      <c r="H44" s="446"/>
      <c r="I44" s="447"/>
      <c r="J44" s="353" t="s">
        <v>15</v>
      </c>
    </row>
    <row r="45" spans="1:10" x14ac:dyDescent="0.25">
      <c r="A45" s="52" t="s">
        <v>23</v>
      </c>
      <c r="B45" s="430" t="s">
        <v>119</v>
      </c>
      <c r="C45" s="431"/>
      <c r="D45" s="431"/>
      <c r="E45" s="431"/>
      <c r="F45" s="431"/>
      <c r="G45" s="431"/>
      <c r="H45" s="431"/>
      <c r="I45" s="374">
        <v>8.3299999999999999E-2</v>
      </c>
      <c r="J45" s="358">
        <f>I45*J36</f>
        <v>184.36264210000002</v>
      </c>
    </row>
    <row r="46" spans="1:10" x14ac:dyDescent="0.25">
      <c r="A46" s="52" t="s">
        <v>30</v>
      </c>
      <c r="B46" s="430" t="s">
        <v>120</v>
      </c>
      <c r="C46" s="431"/>
      <c r="D46" s="431"/>
      <c r="E46" s="431"/>
      <c r="F46" s="431"/>
      <c r="G46" s="431"/>
      <c r="H46" s="431"/>
      <c r="I46" s="374">
        <v>0.1111</v>
      </c>
      <c r="J46" s="359">
        <f>I46*J36</f>
        <v>245.89063070000003</v>
      </c>
    </row>
    <row r="47" spans="1:10" x14ac:dyDescent="0.25">
      <c r="A47" s="445" t="s">
        <v>121</v>
      </c>
      <c r="B47" s="446"/>
      <c r="C47" s="446"/>
      <c r="D47" s="446"/>
      <c r="E47" s="446"/>
      <c r="F47" s="446"/>
      <c r="G47" s="446"/>
      <c r="H47" s="446"/>
      <c r="I47" s="375">
        <f>SUM(I45:I46)</f>
        <v>0.19440000000000002</v>
      </c>
      <c r="J47" s="360">
        <f>SUM(J45:J46)</f>
        <v>430.25327280000005</v>
      </c>
    </row>
    <row r="48" spans="1:10" x14ac:dyDescent="0.25">
      <c r="A48" s="470"/>
      <c r="B48" s="471"/>
      <c r="C48" s="471"/>
      <c r="D48" s="471"/>
      <c r="E48" s="471"/>
      <c r="F48" s="471"/>
      <c r="G48" s="471"/>
      <c r="H48" s="471"/>
      <c r="I48" s="471"/>
      <c r="J48" s="471"/>
    </row>
    <row r="49" spans="1:10" ht="46.5" customHeight="1" x14ac:dyDescent="0.25">
      <c r="A49" s="467" t="s">
        <v>122</v>
      </c>
      <c r="B49" s="467"/>
      <c r="C49" s="467"/>
      <c r="D49" s="467"/>
      <c r="E49" s="467"/>
      <c r="F49" s="467"/>
      <c r="G49" s="467"/>
      <c r="H49" s="467"/>
      <c r="I49" s="467"/>
      <c r="J49" s="467"/>
    </row>
    <row r="50" spans="1:10" ht="46.5" customHeight="1" x14ac:dyDescent="0.25">
      <c r="A50" s="467" t="s">
        <v>123</v>
      </c>
      <c r="B50" s="467"/>
      <c r="C50" s="467"/>
      <c r="D50" s="467"/>
      <c r="E50" s="467"/>
      <c r="F50" s="467"/>
      <c r="G50" s="467"/>
      <c r="H50" s="467"/>
      <c r="I50" s="467"/>
      <c r="J50" s="467"/>
    </row>
    <row r="51" spans="1:10" ht="46.5" customHeight="1" x14ac:dyDescent="0.25">
      <c r="A51" s="467" t="s">
        <v>124</v>
      </c>
      <c r="B51" s="467"/>
      <c r="C51" s="467"/>
      <c r="D51" s="467"/>
      <c r="E51" s="467"/>
      <c r="F51" s="467"/>
      <c r="G51" s="467"/>
      <c r="H51" s="467"/>
      <c r="I51" s="467"/>
      <c r="J51" s="467"/>
    </row>
    <row r="52" spans="1:10" ht="46.5" customHeight="1" x14ac:dyDescent="0.25">
      <c r="A52" s="461"/>
      <c r="B52" s="462"/>
      <c r="C52" s="462"/>
      <c r="D52" s="462"/>
      <c r="E52" s="462"/>
      <c r="F52" s="462"/>
      <c r="G52" s="462"/>
      <c r="H52" s="462"/>
      <c r="I52" s="462"/>
      <c r="J52" s="462"/>
    </row>
    <row r="53" spans="1:10" x14ac:dyDescent="0.25">
      <c r="A53" s="468" t="s">
        <v>125</v>
      </c>
      <c r="B53" s="469"/>
      <c r="C53" s="469"/>
      <c r="D53" s="469"/>
      <c r="E53" s="469"/>
      <c r="F53" s="469"/>
      <c r="G53" s="469"/>
      <c r="H53" s="469"/>
      <c r="I53" s="469"/>
      <c r="J53" s="469"/>
    </row>
    <row r="54" spans="1:10" x14ac:dyDescent="0.25">
      <c r="A54" s="7" t="s">
        <v>4</v>
      </c>
      <c r="B54" s="454" t="s">
        <v>5</v>
      </c>
      <c r="C54" s="454"/>
      <c r="D54" s="454"/>
      <c r="E54" s="454"/>
      <c r="F54" s="454"/>
      <c r="G54" s="454"/>
      <c r="H54" s="454"/>
      <c r="I54" s="376" t="s">
        <v>126</v>
      </c>
      <c r="J54" s="353" t="s">
        <v>15</v>
      </c>
    </row>
    <row r="55" spans="1:10" x14ac:dyDescent="0.25">
      <c r="A55" s="52" t="s">
        <v>23</v>
      </c>
      <c r="B55" s="448" t="s">
        <v>127</v>
      </c>
      <c r="C55" s="448"/>
      <c r="D55" s="448"/>
      <c r="E55" s="448"/>
      <c r="F55" s="448"/>
      <c r="G55" s="448"/>
      <c r="H55" s="448"/>
      <c r="I55" s="344">
        <v>0.2</v>
      </c>
      <c r="J55" s="350">
        <f t="shared" ref="J55:J62" si="0">I55*(J$36+J$47)</f>
        <v>528.69805456000006</v>
      </c>
    </row>
    <row r="56" spans="1:10" x14ac:dyDescent="0.25">
      <c r="A56" s="52" t="s">
        <v>20</v>
      </c>
      <c r="B56" s="448" t="s">
        <v>128</v>
      </c>
      <c r="C56" s="448"/>
      <c r="D56" s="448"/>
      <c r="E56" s="448"/>
      <c r="F56" s="448"/>
      <c r="G56" s="448"/>
      <c r="H56" s="448"/>
      <c r="I56" s="344">
        <v>2.5000000000000001E-2</v>
      </c>
      <c r="J56" s="350">
        <f t="shared" si="0"/>
        <v>66.087256820000007</v>
      </c>
    </row>
    <row r="57" spans="1:10" x14ac:dyDescent="0.25">
      <c r="A57" s="52" t="s">
        <v>11</v>
      </c>
      <c r="B57" s="448" t="s">
        <v>12</v>
      </c>
      <c r="C57" s="448"/>
      <c r="D57" s="448"/>
      <c r="E57" s="448"/>
      <c r="F57" s="448"/>
      <c r="G57" s="448"/>
      <c r="H57" s="448"/>
      <c r="I57" s="344">
        <v>0.03</v>
      </c>
      <c r="J57" s="350">
        <f t="shared" si="0"/>
        <v>79.304708184000006</v>
      </c>
    </row>
    <row r="58" spans="1:10" x14ac:dyDescent="0.25">
      <c r="A58" s="52" t="s">
        <v>30</v>
      </c>
      <c r="B58" s="448" t="s">
        <v>129</v>
      </c>
      <c r="C58" s="448"/>
      <c r="D58" s="448"/>
      <c r="E58" s="448"/>
      <c r="F58" s="448"/>
      <c r="G58" s="448"/>
      <c r="H58" s="448"/>
      <c r="I58" s="344">
        <v>1.4999999999999999E-2</v>
      </c>
      <c r="J58" s="350">
        <f t="shared" si="0"/>
        <v>39.652354092000003</v>
      </c>
    </row>
    <row r="59" spans="1:10" x14ac:dyDescent="0.25">
      <c r="A59" s="52" t="s">
        <v>32</v>
      </c>
      <c r="B59" s="448" t="s">
        <v>130</v>
      </c>
      <c r="C59" s="448"/>
      <c r="D59" s="448"/>
      <c r="E59" s="448"/>
      <c r="F59" s="448"/>
      <c r="G59" s="448"/>
      <c r="H59" s="448"/>
      <c r="I59" s="344">
        <v>0.01</v>
      </c>
      <c r="J59" s="350">
        <f t="shared" si="0"/>
        <v>26.434902728000001</v>
      </c>
    </row>
    <row r="60" spans="1:10" x14ac:dyDescent="0.25">
      <c r="A60" s="52" t="s">
        <v>131</v>
      </c>
      <c r="B60" s="448" t="s">
        <v>132</v>
      </c>
      <c r="C60" s="448"/>
      <c r="D60" s="448"/>
      <c r="E60" s="448"/>
      <c r="F60" s="448"/>
      <c r="G60" s="448"/>
      <c r="H60" s="448"/>
      <c r="I60" s="344">
        <v>6.0000000000000001E-3</v>
      </c>
      <c r="J60" s="350">
        <f t="shared" si="0"/>
        <v>15.860941636800002</v>
      </c>
    </row>
    <row r="61" spans="1:10" x14ac:dyDescent="0.25">
      <c r="A61" s="52" t="s">
        <v>25</v>
      </c>
      <c r="B61" s="448" t="s">
        <v>133</v>
      </c>
      <c r="C61" s="448"/>
      <c r="D61" s="448"/>
      <c r="E61" s="448"/>
      <c r="F61" s="448"/>
      <c r="G61" s="448"/>
      <c r="H61" s="448"/>
      <c r="I61" s="344">
        <v>2E-3</v>
      </c>
      <c r="J61" s="350">
        <f t="shared" si="0"/>
        <v>5.2869805456000005</v>
      </c>
    </row>
    <row r="62" spans="1:10" x14ac:dyDescent="0.25">
      <c r="A62" s="52" t="s">
        <v>37</v>
      </c>
      <c r="B62" s="448" t="s">
        <v>134</v>
      </c>
      <c r="C62" s="448"/>
      <c r="D62" s="448"/>
      <c r="E62" s="448"/>
      <c r="F62" s="448"/>
      <c r="G62" s="448"/>
      <c r="H62" s="448"/>
      <c r="I62" s="344">
        <v>0.08</v>
      </c>
      <c r="J62" s="350">
        <f t="shared" si="0"/>
        <v>211.47922182400001</v>
      </c>
    </row>
    <row r="63" spans="1:10" x14ac:dyDescent="0.25">
      <c r="A63" s="454" t="s">
        <v>121</v>
      </c>
      <c r="B63" s="454"/>
      <c r="C63" s="454"/>
      <c r="D63" s="454"/>
      <c r="E63" s="454"/>
      <c r="F63" s="454"/>
      <c r="G63" s="454"/>
      <c r="H63" s="454"/>
      <c r="I63" s="377">
        <f t="shared" ref="I63:J63" si="1">SUM(I55:I62)</f>
        <v>0.36800000000000005</v>
      </c>
      <c r="J63" s="361">
        <f t="shared" si="1"/>
        <v>972.80442039040008</v>
      </c>
    </row>
    <row r="64" spans="1:10" x14ac:dyDescent="0.25">
      <c r="A64" s="472"/>
      <c r="B64" s="472"/>
      <c r="C64" s="472"/>
      <c r="D64" s="472"/>
      <c r="E64" s="472"/>
      <c r="F64" s="472"/>
      <c r="G64" s="472"/>
      <c r="H64" s="472"/>
      <c r="I64" s="472"/>
      <c r="J64" s="472"/>
    </row>
    <row r="65" spans="1:10" ht="38.25" customHeight="1" x14ac:dyDescent="0.25">
      <c r="A65" s="467" t="s">
        <v>135</v>
      </c>
      <c r="B65" s="467"/>
      <c r="C65" s="467"/>
      <c r="D65" s="467"/>
      <c r="E65" s="467"/>
      <c r="F65" s="467"/>
      <c r="G65" s="467"/>
      <c r="H65" s="467"/>
      <c r="I65" s="467"/>
      <c r="J65" s="467"/>
    </row>
    <row r="66" spans="1:10" ht="38.25" customHeight="1" x14ac:dyDescent="0.25">
      <c r="A66" s="467" t="s">
        <v>136</v>
      </c>
      <c r="B66" s="467"/>
      <c r="C66" s="467"/>
      <c r="D66" s="467"/>
      <c r="E66" s="467"/>
      <c r="F66" s="467"/>
      <c r="G66" s="467"/>
      <c r="H66" s="467"/>
      <c r="I66" s="467"/>
      <c r="J66" s="467"/>
    </row>
    <row r="67" spans="1:10" ht="38.25" customHeight="1" x14ac:dyDescent="0.25">
      <c r="A67" s="459" t="s">
        <v>137</v>
      </c>
      <c r="B67" s="459"/>
      <c r="C67" s="459"/>
      <c r="D67" s="459"/>
      <c r="E67" s="459"/>
      <c r="F67" s="459"/>
      <c r="G67" s="459"/>
      <c r="H67" s="459"/>
      <c r="I67" s="459"/>
      <c r="J67" s="459"/>
    </row>
    <row r="68" spans="1:10" x14ac:dyDescent="0.25">
      <c r="A68" s="474"/>
      <c r="B68" s="474"/>
      <c r="C68" s="474"/>
      <c r="D68" s="474"/>
      <c r="E68" s="474"/>
      <c r="F68" s="474"/>
      <c r="G68" s="474"/>
      <c r="H68" s="474"/>
      <c r="I68" s="474"/>
      <c r="J68" s="461"/>
    </row>
    <row r="69" spans="1:10" x14ac:dyDescent="0.25">
      <c r="A69" s="468" t="s">
        <v>138</v>
      </c>
      <c r="B69" s="469"/>
      <c r="C69" s="469"/>
      <c r="D69" s="469"/>
      <c r="E69" s="469"/>
      <c r="F69" s="469"/>
      <c r="G69" s="469"/>
      <c r="H69" s="469"/>
      <c r="I69" s="469"/>
      <c r="J69" s="469"/>
    </row>
    <row r="70" spans="1:10" x14ac:dyDescent="0.25">
      <c r="A70" s="72" t="s">
        <v>13</v>
      </c>
      <c r="B70" s="454" t="s">
        <v>14</v>
      </c>
      <c r="C70" s="454"/>
      <c r="D70" s="454"/>
      <c r="E70" s="454"/>
      <c r="F70" s="454"/>
      <c r="G70" s="454"/>
      <c r="H70" s="454"/>
      <c r="I70" s="454"/>
      <c r="J70" s="353" t="s">
        <v>15</v>
      </c>
    </row>
    <row r="71" spans="1:10" x14ac:dyDescent="0.25">
      <c r="A71" s="8" t="s">
        <v>23</v>
      </c>
      <c r="B71" s="448" t="s">
        <v>350</v>
      </c>
      <c r="C71" s="448"/>
      <c r="D71" s="448"/>
      <c r="E71" s="448"/>
      <c r="F71" s="448"/>
      <c r="G71" s="448"/>
      <c r="H71" s="448"/>
      <c r="I71" s="448"/>
      <c r="J71" s="284">
        <f>(15*2*4)-(J33*50%*6%)</f>
        <v>68.925299999999993</v>
      </c>
    </row>
    <row r="72" spans="1:10" x14ac:dyDescent="0.25">
      <c r="A72" s="8" t="s">
        <v>42</v>
      </c>
      <c r="B72" s="448" t="s">
        <v>351</v>
      </c>
      <c r="C72" s="448"/>
      <c r="D72" s="448"/>
      <c r="E72" s="448"/>
      <c r="F72" s="448"/>
      <c r="G72" s="448"/>
      <c r="H72" s="448"/>
      <c r="I72" s="448"/>
      <c r="J72" s="284">
        <f>(15*36)-1%*(15*36)</f>
        <v>534.6</v>
      </c>
    </row>
    <row r="73" spans="1:10" x14ac:dyDescent="0.25">
      <c r="A73" s="8" t="s">
        <v>32</v>
      </c>
      <c r="B73" s="448" t="s">
        <v>139</v>
      </c>
      <c r="C73" s="448"/>
      <c r="D73" s="448"/>
      <c r="E73" s="448"/>
      <c r="F73" s="448"/>
      <c r="G73" s="448"/>
      <c r="H73" s="448"/>
      <c r="I73" s="448"/>
      <c r="J73" s="284">
        <v>0</v>
      </c>
    </row>
    <row r="74" spans="1:10" x14ac:dyDescent="0.25">
      <c r="A74" s="8" t="s">
        <v>25</v>
      </c>
      <c r="B74" s="448" t="s">
        <v>140</v>
      </c>
      <c r="C74" s="448"/>
      <c r="D74" s="448"/>
      <c r="E74" s="448"/>
      <c r="F74" s="448"/>
      <c r="G74" s="448"/>
      <c r="H74" s="448"/>
      <c r="I74" s="448"/>
      <c r="J74" s="284">
        <v>0</v>
      </c>
    </row>
    <row r="75" spans="1:10" ht="21" customHeight="1" x14ac:dyDescent="0.25">
      <c r="A75" s="8" t="s">
        <v>20</v>
      </c>
      <c r="B75" s="448" t="s">
        <v>21</v>
      </c>
      <c r="C75" s="448"/>
      <c r="D75" s="448"/>
      <c r="E75" s="448"/>
      <c r="F75" s="448"/>
      <c r="G75" s="448"/>
      <c r="H75" s="448"/>
      <c r="I75" s="448"/>
      <c r="J75" s="284">
        <f>'Media de custo com mão de o (2)'!M4</f>
        <v>13.5</v>
      </c>
    </row>
    <row r="76" spans="1:10" ht="21" customHeight="1" x14ac:dyDescent="0.25">
      <c r="A76" s="149"/>
      <c r="B76" s="475" t="s">
        <v>299</v>
      </c>
      <c r="C76" s="476"/>
      <c r="D76" s="476"/>
      <c r="E76" s="476"/>
      <c r="F76" s="476"/>
      <c r="G76" s="476"/>
      <c r="H76" s="476"/>
      <c r="I76" s="477"/>
      <c r="J76" s="284">
        <f>20.12/2</f>
        <v>10.06</v>
      </c>
    </row>
    <row r="77" spans="1:10" ht="21" customHeight="1" x14ac:dyDescent="0.25">
      <c r="A77" s="149"/>
      <c r="B77" s="475" t="s">
        <v>298</v>
      </c>
      <c r="C77" s="476"/>
      <c r="D77" s="476"/>
      <c r="E77" s="476"/>
      <c r="F77" s="476"/>
      <c r="G77" s="476"/>
      <c r="H77" s="476"/>
      <c r="I77" s="477"/>
      <c r="J77" s="284">
        <v>2</v>
      </c>
    </row>
    <row r="78" spans="1:10" x14ac:dyDescent="0.25">
      <c r="A78" s="8"/>
      <c r="B78" s="454" t="s">
        <v>141</v>
      </c>
      <c r="C78" s="454"/>
      <c r="D78" s="454"/>
      <c r="E78" s="454"/>
      <c r="F78" s="454"/>
      <c r="G78" s="454"/>
      <c r="H78" s="454"/>
      <c r="I78" s="454"/>
      <c r="J78" s="362">
        <f>SUM(H71:J75)</f>
        <v>617.02530000000002</v>
      </c>
    </row>
    <row r="79" spans="1:10" x14ac:dyDescent="0.25">
      <c r="A79" s="426"/>
      <c r="B79" s="427"/>
      <c r="C79" s="427"/>
      <c r="D79" s="427"/>
      <c r="E79" s="427"/>
      <c r="F79" s="427"/>
      <c r="G79" s="427"/>
      <c r="H79" s="427"/>
      <c r="I79" s="427"/>
      <c r="J79" s="427"/>
    </row>
    <row r="80" spans="1:10" ht="38.25" customHeight="1" x14ac:dyDescent="0.25">
      <c r="A80" s="473" t="s">
        <v>142</v>
      </c>
      <c r="B80" s="473"/>
      <c r="C80" s="473"/>
      <c r="D80" s="473"/>
      <c r="E80" s="473"/>
      <c r="F80" s="473"/>
      <c r="G80" s="473"/>
      <c r="H80" s="473"/>
      <c r="I80" s="473"/>
      <c r="J80" s="473"/>
    </row>
    <row r="81" spans="1:10" ht="38.25" customHeight="1" x14ac:dyDescent="0.25">
      <c r="A81" s="473" t="s">
        <v>143</v>
      </c>
      <c r="B81" s="473"/>
      <c r="C81" s="473"/>
      <c r="D81" s="473"/>
      <c r="E81" s="473"/>
      <c r="F81" s="473"/>
      <c r="G81" s="473"/>
      <c r="H81" s="473"/>
      <c r="I81" s="473"/>
      <c r="J81" s="473"/>
    </row>
    <row r="82" spans="1:10" x14ac:dyDescent="0.25">
      <c r="A82" s="426"/>
      <c r="B82" s="427"/>
      <c r="C82" s="427"/>
      <c r="D82" s="427"/>
      <c r="E82" s="427"/>
      <c r="F82" s="427"/>
      <c r="G82" s="427"/>
      <c r="H82" s="427"/>
      <c r="I82" s="427"/>
      <c r="J82" s="427"/>
    </row>
    <row r="83" spans="1:10" x14ac:dyDescent="0.25">
      <c r="A83" s="482" t="s">
        <v>144</v>
      </c>
      <c r="B83" s="482"/>
      <c r="C83" s="482"/>
      <c r="D83" s="482"/>
      <c r="E83" s="482"/>
      <c r="F83" s="482"/>
      <c r="G83" s="482"/>
      <c r="H83" s="482"/>
      <c r="I83" s="482"/>
      <c r="J83" s="483"/>
    </row>
    <row r="84" spans="1:10" x14ac:dyDescent="0.25">
      <c r="A84" s="484"/>
      <c r="B84" s="485"/>
      <c r="C84" s="485"/>
      <c r="D84" s="485"/>
      <c r="E84" s="485"/>
      <c r="F84" s="485"/>
      <c r="G84" s="485"/>
      <c r="H84" s="485"/>
      <c r="I84" s="485"/>
      <c r="J84" s="485"/>
    </row>
    <row r="85" spans="1:10" x14ac:dyDescent="0.25">
      <c r="A85" s="7">
        <v>2</v>
      </c>
      <c r="B85" s="454" t="s">
        <v>145</v>
      </c>
      <c r="C85" s="454"/>
      <c r="D85" s="454"/>
      <c r="E85" s="454"/>
      <c r="F85" s="454"/>
      <c r="G85" s="454"/>
      <c r="H85" s="454"/>
      <c r="I85" s="454"/>
      <c r="J85" s="363" t="s">
        <v>15</v>
      </c>
    </row>
    <row r="86" spans="1:10" x14ac:dyDescent="0.25">
      <c r="A86" s="52" t="s">
        <v>117</v>
      </c>
      <c r="B86" s="448" t="s">
        <v>146</v>
      </c>
      <c r="C86" s="448"/>
      <c r="D86" s="448"/>
      <c r="E86" s="448"/>
      <c r="F86" s="448"/>
      <c r="G86" s="448"/>
      <c r="H86" s="448"/>
      <c r="I86" s="448"/>
      <c r="J86" s="364">
        <f>J47</f>
        <v>430.25327280000005</v>
      </c>
    </row>
    <row r="87" spans="1:10" x14ac:dyDescent="0.25">
      <c r="A87" s="52" t="s">
        <v>4</v>
      </c>
      <c r="B87" s="448" t="s">
        <v>147</v>
      </c>
      <c r="C87" s="448"/>
      <c r="D87" s="448"/>
      <c r="E87" s="448"/>
      <c r="F87" s="448"/>
      <c r="G87" s="448"/>
      <c r="H87" s="448"/>
      <c r="I87" s="448"/>
      <c r="J87" s="364">
        <f>J63</f>
        <v>972.80442039040008</v>
      </c>
    </row>
    <row r="88" spans="1:10" x14ac:dyDescent="0.25">
      <c r="A88" s="52" t="s">
        <v>148</v>
      </c>
      <c r="B88" s="448" t="s">
        <v>149</v>
      </c>
      <c r="C88" s="448"/>
      <c r="D88" s="448"/>
      <c r="E88" s="448"/>
      <c r="F88" s="448"/>
      <c r="G88" s="448"/>
      <c r="H88" s="448"/>
      <c r="I88" s="448"/>
      <c r="J88" s="364">
        <f>J78</f>
        <v>617.02530000000002</v>
      </c>
    </row>
    <row r="89" spans="1:10" x14ac:dyDescent="0.25">
      <c r="A89" s="77"/>
      <c r="B89" s="478" t="s">
        <v>150</v>
      </c>
      <c r="C89" s="478"/>
      <c r="D89" s="478"/>
      <c r="E89" s="478"/>
      <c r="F89" s="478"/>
      <c r="G89" s="478"/>
      <c r="H89" s="478"/>
      <c r="I89" s="478"/>
      <c r="J89" s="365">
        <f>SUM(J86:J88)</f>
        <v>2020.0829931904002</v>
      </c>
    </row>
    <row r="90" spans="1:10" x14ac:dyDescent="0.25">
      <c r="A90" s="479"/>
      <c r="B90" s="480"/>
      <c r="C90" s="480"/>
      <c r="D90" s="480"/>
      <c r="E90" s="480"/>
      <c r="F90" s="480"/>
      <c r="G90" s="480"/>
      <c r="H90" s="480"/>
      <c r="I90" s="480"/>
      <c r="J90" s="480"/>
    </row>
    <row r="91" spans="1:10" x14ac:dyDescent="0.25">
      <c r="A91" s="461"/>
      <c r="B91" s="462"/>
      <c r="C91" s="462"/>
      <c r="D91" s="462"/>
      <c r="E91" s="462"/>
      <c r="F91" s="462"/>
      <c r="G91" s="462"/>
      <c r="H91" s="462"/>
      <c r="I91" s="462"/>
      <c r="J91" s="462"/>
    </row>
    <row r="92" spans="1:10" x14ac:dyDescent="0.25">
      <c r="A92" s="466" t="s">
        <v>151</v>
      </c>
      <c r="B92" s="481"/>
      <c r="C92" s="481"/>
      <c r="D92" s="481"/>
      <c r="E92" s="481"/>
      <c r="F92" s="481"/>
      <c r="G92" s="481"/>
      <c r="H92" s="481"/>
      <c r="I92" s="481"/>
      <c r="J92" s="481"/>
    </row>
    <row r="93" spans="1:10" x14ac:dyDescent="0.25">
      <c r="A93" s="7">
        <v>3</v>
      </c>
      <c r="B93" s="454" t="s">
        <v>22</v>
      </c>
      <c r="C93" s="454"/>
      <c r="D93" s="454"/>
      <c r="E93" s="454"/>
      <c r="F93" s="454"/>
      <c r="G93" s="454"/>
      <c r="H93" s="454"/>
      <c r="I93" s="363" t="s">
        <v>126</v>
      </c>
      <c r="J93" s="353" t="s">
        <v>15</v>
      </c>
    </row>
    <row r="94" spans="1:10" x14ac:dyDescent="0.25">
      <c r="A94" s="52" t="s">
        <v>23</v>
      </c>
      <c r="B94" s="486" t="s">
        <v>24</v>
      </c>
      <c r="C94" s="486"/>
      <c r="D94" s="486"/>
      <c r="E94" s="486"/>
      <c r="F94" s="486"/>
      <c r="G94" s="486"/>
      <c r="H94" s="486"/>
      <c r="I94" s="342">
        <f>'Media de custo com mão de o (2)'!M7</f>
        <v>4.1999999999999997E-3</v>
      </c>
      <c r="J94" s="343">
        <f>I94*J36</f>
        <v>9.2955953999999998</v>
      </c>
    </row>
    <row r="95" spans="1:10" ht="21" customHeight="1" x14ac:dyDescent="0.25">
      <c r="A95" s="52" t="s">
        <v>30</v>
      </c>
      <c r="B95" s="486" t="s">
        <v>152</v>
      </c>
      <c r="C95" s="486"/>
      <c r="D95" s="486"/>
      <c r="E95" s="486"/>
      <c r="F95" s="486"/>
      <c r="G95" s="486"/>
      <c r="H95" s="486"/>
      <c r="I95" s="344">
        <f>I62</f>
        <v>0.08</v>
      </c>
      <c r="J95" s="343">
        <f>I95*J94</f>
        <v>0.74364763199999995</v>
      </c>
    </row>
    <row r="96" spans="1:10" ht="25.15" customHeight="1" x14ac:dyDescent="0.25">
      <c r="A96" s="81" t="s">
        <v>32</v>
      </c>
      <c r="B96" s="486" t="s">
        <v>153</v>
      </c>
      <c r="C96" s="486"/>
      <c r="D96" s="486"/>
      <c r="E96" s="486"/>
      <c r="F96" s="486"/>
      <c r="G96" s="486"/>
      <c r="H96" s="486"/>
      <c r="I96" s="344">
        <v>0.02</v>
      </c>
      <c r="J96" s="343">
        <f>I96*J36</f>
        <v>44.264740000000003</v>
      </c>
    </row>
    <row r="97" spans="1:10" ht="27.75" customHeight="1" x14ac:dyDescent="0.25">
      <c r="A97" s="52" t="s">
        <v>25</v>
      </c>
      <c r="B97" s="486" t="s">
        <v>154</v>
      </c>
      <c r="C97" s="486"/>
      <c r="D97" s="486"/>
      <c r="E97" s="486"/>
      <c r="F97" s="486"/>
      <c r="G97" s="486"/>
      <c r="H97" s="486"/>
      <c r="I97" s="345">
        <f>'Media de custo com mão de o (2)'!M8</f>
        <v>1.9400000000000001E-2</v>
      </c>
      <c r="J97" s="343">
        <f>I97*J36</f>
        <v>42.936797800000001</v>
      </c>
    </row>
    <row r="98" spans="1:10" ht="22.15" customHeight="1" x14ac:dyDescent="0.25">
      <c r="A98" s="52" t="s">
        <v>20</v>
      </c>
      <c r="B98" s="486" t="s">
        <v>155</v>
      </c>
      <c r="C98" s="486"/>
      <c r="D98" s="486"/>
      <c r="E98" s="486"/>
      <c r="F98" s="486"/>
      <c r="G98" s="486"/>
      <c r="H98" s="486"/>
      <c r="I98" s="346">
        <f>I63</f>
        <v>0.36800000000000005</v>
      </c>
      <c r="J98" s="343">
        <f>I98*J97</f>
        <v>15.800741590400003</v>
      </c>
    </row>
    <row r="99" spans="1:10" ht="22.15" customHeight="1" x14ac:dyDescent="0.25">
      <c r="A99" s="52" t="s">
        <v>37</v>
      </c>
      <c r="B99" s="486" t="s">
        <v>156</v>
      </c>
      <c r="C99" s="486"/>
      <c r="D99" s="486"/>
      <c r="E99" s="486"/>
      <c r="F99" s="486"/>
      <c r="G99" s="486"/>
      <c r="H99" s="486"/>
      <c r="I99" s="344">
        <v>0.02</v>
      </c>
      <c r="J99" s="343">
        <f>I99*J36</f>
        <v>44.264740000000003</v>
      </c>
    </row>
    <row r="100" spans="1:10" ht="22.15" customHeight="1" x14ac:dyDescent="0.25">
      <c r="A100" s="85"/>
      <c r="B100" s="454" t="s">
        <v>121</v>
      </c>
      <c r="C100" s="454"/>
      <c r="D100" s="454"/>
      <c r="E100" s="454"/>
      <c r="F100" s="454"/>
      <c r="G100" s="454"/>
      <c r="H100" s="454"/>
      <c r="I100" s="347"/>
      <c r="J100" s="348">
        <f>SUM(J94:J99)</f>
        <v>157.30626242240004</v>
      </c>
    </row>
    <row r="101" spans="1:10" x14ac:dyDescent="0.25">
      <c r="A101" s="470"/>
      <c r="B101" s="471"/>
      <c r="C101" s="471"/>
      <c r="D101" s="471"/>
      <c r="E101" s="471"/>
      <c r="F101" s="471"/>
      <c r="G101" s="471"/>
      <c r="H101" s="471"/>
      <c r="I101" s="471"/>
      <c r="J101" s="471"/>
    </row>
    <row r="102" spans="1:10" ht="90.75" customHeight="1" x14ac:dyDescent="0.25">
      <c r="A102" s="467" t="s">
        <v>157</v>
      </c>
      <c r="B102" s="467"/>
      <c r="C102" s="467"/>
      <c r="D102" s="467"/>
      <c r="E102" s="467"/>
      <c r="F102" s="467"/>
      <c r="G102" s="467"/>
      <c r="H102" s="467"/>
      <c r="I102" s="467"/>
      <c r="J102" s="467"/>
    </row>
    <row r="103" spans="1:10" x14ac:dyDescent="0.25">
      <c r="A103" s="487"/>
      <c r="B103" s="488"/>
      <c r="C103" s="488"/>
      <c r="D103" s="488"/>
      <c r="E103" s="488"/>
      <c r="F103" s="488"/>
      <c r="G103" s="488"/>
      <c r="H103" s="488"/>
      <c r="I103" s="488"/>
      <c r="J103" s="488"/>
    </row>
    <row r="104" spans="1:10" x14ac:dyDescent="0.25">
      <c r="A104" s="489" t="s">
        <v>158</v>
      </c>
      <c r="B104" s="490"/>
      <c r="C104" s="490"/>
      <c r="D104" s="490"/>
      <c r="E104" s="490"/>
      <c r="F104" s="490"/>
      <c r="G104" s="490"/>
      <c r="H104" s="490"/>
      <c r="I104" s="490"/>
      <c r="J104" s="490"/>
    </row>
    <row r="105" spans="1:10" x14ac:dyDescent="0.25">
      <c r="A105" s="470"/>
      <c r="B105" s="471"/>
      <c r="C105" s="471"/>
      <c r="D105" s="471"/>
      <c r="E105" s="471"/>
      <c r="F105" s="471"/>
      <c r="G105" s="471"/>
      <c r="H105" s="471"/>
      <c r="I105" s="471"/>
      <c r="J105" s="471"/>
    </row>
    <row r="106" spans="1:10" ht="33.75" customHeight="1" x14ac:dyDescent="0.25">
      <c r="A106" s="467" t="s">
        <v>159</v>
      </c>
      <c r="B106" s="467"/>
      <c r="C106" s="467"/>
      <c r="D106" s="467"/>
      <c r="E106" s="467"/>
      <c r="F106" s="467"/>
      <c r="G106" s="467"/>
      <c r="H106" s="467"/>
      <c r="I106" s="467"/>
      <c r="J106" s="467"/>
    </row>
    <row r="107" spans="1:10" x14ac:dyDescent="0.25">
      <c r="A107" s="461"/>
      <c r="B107" s="462"/>
      <c r="C107" s="462"/>
      <c r="D107" s="462"/>
      <c r="E107" s="462"/>
      <c r="F107" s="462"/>
      <c r="G107" s="462"/>
      <c r="H107" s="462"/>
      <c r="I107" s="462"/>
      <c r="J107" s="462"/>
    </row>
    <row r="108" spans="1:10" x14ac:dyDescent="0.25">
      <c r="A108" s="491" t="s">
        <v>160</v>
      </c>
      <c r="B108" s="491"/>
      <c r="C108" s="491"/>
      <c r="D108" s="491"/>
      <c r="E108" s="491"/>
      <c r="F108" s="491"/>
      <c r="G108" s="491"/>
      <c r="H108" s="491"/>
      <c r="I108" s="491"/>
      <c r="J108" s="468"/>
    </row>
    <row r="109" spans="1:10" x14ac:dyDescent="0.25">
      <c r="A109" s="87" t="s">
        <v>27</v>
      </c>
      <c r="B109" s="454" t="s">
        <v>28</v>
      </c>
      <c r="C109" s="454"/>
      <c r="D109" s="454"/>
      <c r="E109" s="454"/>
      <c r="F109" s="454"/>
      <c r="G109" s="454"/>
      <c r="H109" s="454"/>
      <c r="I109" s="378"/>
      <c r="J109" s="353" t="s">
        <v>15</v>
      </c>
    </row>
    <row r="110" spans="1:10" x14ac:dyDescent="0.25">
      <c r="A110" s="52" t="s">
        <v>23</v>
      </c>
      <c r="B110" s="448" t="s">
        <v>29</v>
      </c>
      <c r="C110" s="448"/>
      <c r="D110" s="448"/>
      <c r="E110" s="448"/>
      <c r="F110" s="448"/>
      <c r="G110" s="448"/>
      <c r="H110" s="448"/>
      <c r="I110" s="379">
        <f>J110/J36</f>
        <v>0.14470920831291201</v>
      </c>
      <c r="J110" s="350">
        <f>'Custo de Substitução nas Ferias'!E11</f>
        <v>320.27577407884445</v>
      </c>
    </row>
    <row r="111" spans="1:10" x14ac:dyDescent="0.25">
      <c r="A111" s="52" t="s">
        <v>30</v>
      </c>
      <c r="B111" s="455" t="s">
        <v>31</v>
      </c>
      <c r="C111" s="448"/>
      <c r="D111" s="448"/>
      <c r="E111" s="448"/>
      <c r="F111" s="448"/>
      <c r="G111" s="448"/>
      <c r="H111" s="448"/>
      <c r="I111" s="379">
        <f>'Media de custo com mão de o (2)'!M10</f>
        <v>5.4535443250101744E-3</v>
      </c>
      <c r="J111" s="350">
        <f>I111*$J$36</f>
        <v>12.069986081252544</v>
      </c>
    </row>
    <row r="112" spans="1:10" x14ac:dyDescent="0.25">
      <c r="A112" s="52" t="s">
        <v>32</v>
      </c>
      <c r="B112" s="448" t="s">
        <v>33</v>
      </c>
      <c r="C112" s="448"/>
      <c r="D112" s="448"/>
      <c r="E112" s="448"/>
      <c r="F112" s="448"/>
      <c r="G112" s="448"/>
      <c r="H112" s="448"/>
      <c r="I112" s="379">
        <f>'Media de custo com mão de o (2)'!M11</f>
        <v>3.8782887649326089E-4</v>
      </c>
      <c r="J112" s="350">
        <f t="shared" ref="J112:J115" si="2">I112*$J$36</f>
        <v>0.85835721912331531</v>
      </c>
    </row>
    <row r="113" spans="1:10" x14ac:dyDescent="0.25">
      <c r="A113" s="52" t="s">
        <v>25</v>
      </c>
      <c r="B113" s="448" t="s">
        <v>34</v>
      </c>
      <c r="C113" s="448"/>
      <c r="D113" s="448"/>
      <c r="E113" s="448"/>
      <c r="F113" s="448"/>
      <c r="G113" s="448"/>
      <c r="H113" s="448"/>
      <c r="I113" s="379">
        <f>'Media de custo com mão de o (2)'!M12</f>
        <v>5.4535443250101744E-3</v>
      </c>
      <c r="J113" s="350">
        <f t="shared" si="2"/>
        <v>12.069986081252544</v>
      </c>
    </row>
    <row r="114" spans="1:10" x14ac:dyDescent="0.25">
      <c r="A114" s="52" t="s">
        <v>20</v>
      </c>
      <c r="B114" s="448" t="s">
        <v>35</v>
      </c>
      <c r="C114" s="448"/>
      <c r="D114" s="448"/>
      <c r="E114" s="448"/>
      <c r="F114" s="448"/>
      <c r="G114" s="448"/>
      <c r="H114" s="448"/>
      <c r="I114" s="379">
        <f>'Media de custo com mão de o (2)'!M13</f>
        <v>5.841373201503435E-4</v>
      </c>
      <c r="J114" s="350">
        <f t="shared" si="2"/>
        <v>1.2928343300375857</v>
      </c>
    </row>
    <row r="115" spans="1:10" x14ac:dyDescent="0.25">
      <c r="A115" s="52" t="s">
        <v>37</v>
      </c>
      <c r="B115" s="448" t="s">
        <v>38</v>
      </c>
      <c r="C115" s="448"/>
      <c r="D115" s="448"/>
      <c r="E115" s="448"/>
      <c r="F115" s="448"/>
      <c r="G115" s="448"/>
      <c r="H115" s="448"/>
      <c r="I115" s="379">
        <f>'Media de custo com mão de o (2)'!M14</f>
        <v>0</v>
      </c>
      <c r="J115" s="350">
        <f t="shared" si="2"/>
        <v>0</v>
      </c>
    </row>
    <row r="116" spans="1:10" ht="22.5" customHeight="1" x14ac:dyDescent="0.25">
      <c r="A116" s="445" t="s">
        <v>150</v>
      </c>
      <c r="B116" s="446"/>
      <c r="C116" s="446"/>
      <c r="D116" s="446"/>
      <c r="E116" s="446"/>
      <c r="F116" s="446"/>
      <c r="G116" s="446"/>
      <c r="H116" s="446"/>
      <c r="I116" s="447"/>
      <c r="J116" s="366">
        <f>SUM(J110:J115)</f>
        <v>346.56693779051039</v>
      </c>
    </row>
    <row r="117" spans="1:10" x14ac:dyDescent="0.25">
      <c r="A117" s="445"/>
      <c r="B117" s="446"/>
      <c r="C117" s="446"/>
      <c r="D117" s="446"/>
      <c r="E117" s="446"/>
      <c r="F117" s="446"/>
      <c r="G117" s="446"/>
      <c r="H117" s="446"/>
      <c r="I117" s="446"/>
      <c r="J117" s="446"/>
    </row>
    <row r="118" spans="1:10" x14ac:dyDescent="0.25">
      <c r="A118" s="468" t="s">
        <v>161</v>
      </c>
      <c r="B118" s="469"/>
      <c r="C118" s="469"/>
      <c r="D118" s="469"/>
      <c r="E118" s="469"/>
      <c r="F118" s="469"/>
      <c r="G118" s="469"/>
      <c r="H118" s="469"/>
      <c r="I118" s="469"/>
      <c r="J118" s="469"/>
    </row>
    <row r="119" spans="1:10" x14ac:dyDescent="0.25">
      <c r="A119" s="7" t="s">
        <v>162</v>
      </c>
      <c r="B119" s="445" t="s">
        <v>163</v>
      </c>
      <c r="C119" s="446"/>
      <c r="D119" s="446"/>
      <c r="E119" s="446"/>
      <c r="F119" s="446"/>
      <c r="G119" s="446"/>
      <c r="H119" s="447"/>
      <c r="I119" s="380"/>
      <c r="J119" s="353" t="s">
        <v>15</v>
      </c>
    </row>
    <row r="120" spans="1:10" x14ac:dyDescent="0.25">
      <c r="A120" s="52" t="s">
        <v>23</v>
      </c>
      <c r="B120" s="430" t="s">
        <v>237</v>
      </c>
      <c r="C120" s="431"/>
      <c r="D120" s="431"/>
      <c r="E120" s="431"/>
      <c r="F120" s="431"/>
      <c r="G120" s="431"/>
      <c r="H120" s="432"/>
      <c r="I120" s="381"/>
      <c r="J120" s="350">
        <f>15.09*15</f>
        <v>226.35</v>
      </c>
    </row>
    <row r="121" spans="1:10" x14ac:dyDescent="0.25">
      <c r="A121" s="445" t="s">
        <v>150</v>
      </c>
      <c r="B121" s="446"/>
      <c r="C121" s="446"/>
      <c r="D121" s="446"/>
      <c r="E121" s="446"/>
      <c r="F121" s="446"/>
      <c r="G121" s="446"/>
      <c r="H121" s="447"/>
      <c r="I121" s="381"/>
      <c r="J121" s="361">
        <f>SUM(J120:J120)</f>
        <v>226.35</v>
      </c>
    </row>
    <row r="122" spans="1:10" x14ac:dyDescent="0.25">
      <c r="A122" s="441"/>
      <c r="B122" s="441"/>
      <c r="C122" s="441"/>
      <c r="D122" s="441"/>
      <c r="E122" s="441"/>
      <c r="F122" s="441"/>
      <c r="G122" s="441"/>
      <c r="H122" s="441"/>
      <c r="I122" s="441"/>
      <c r="J122" s="426"/>
    </row>
    <row r="123" spans="1:10" x14ac:dyDescent="0.25">
      <c r="A123" s="491" t="s">
        <v>164</v>
      </c>
      <c r="B123" s="491"/>
      <c r="C123" s="491"/>
      <c r="D123" s="491"/>
      <c r="E123" s="491"/>
      <c r="F123" s="491"/>
      <c r="G123" s="491"/>
      <c r="H123" s="491"/>
      <c r="I123" s="491"/>
      <c r="J123" s="468"/>
    </row>
    <row r="124" spans="1:10" x14ac:dyDescent="0.25">
      <c r="A124" s="7">
        <v>4</v>
      </c>
      <c r="B124" s="445" t="s">
        <v>165</v>
      </c>
      <c r="C124" s="446"/>
      <c r="D124" s="446"/>
      <c r="E124" s="446"/>
      <c r="F124" s="446"/>
      <c r="G124" s="446"/>
      <c r="H124" s="446"/>
      <c r="I124" s="447"/>
      <c r="J124" s="353" t="s">
        <v>15</v>
      </c>
    </row>
    <row r="125" spans="1:10" x14ac:dyDescent="0.25">
      <c r="A125" s="52" t="s">
        <v>27</v>
      </c>
      <c r="B125" s="448" t="s">
        <v>166</v>
      </c>
      <c r="C125" s="448"/>
      <c r="D125" s="448"/>
      <c r="E125" s="448"/>
      <c r="F125" s="448"/>
      <c r="G125" s="448"/>
      <c r="H125" s="448"/>
      <c r="I125" s="448"/>
      <c r="J125" s="367">
        <f>J116</f>
        <v>346.56693779051039</v>
      </c>
    </row>
    <row r="126" spans="1:10" x14ac:dyDescent="0.25">
      <c r="A126" s="52" t="s">
        <v>162</v>
      </c>
      <c r="B126" s="448" t="s">
        <v>167</v>
      </c>
      <c r="C126" s="448"/>
      <c r="D126" s="448"/>
      <c r="E126" s="448"/>
      <c r="F126" s="448"/>
      <c r="G126" s="448"/>
      <c r="H126" s="448"/>
      <c r="I126" s="448"/>
      <c r="J126" s="367">
        <f>J121</f>
        <v>226.35</v>
      </c>
    </row>
    <row r="127" spans="1:10" x14ac:dyDescent="0.25">
      <c r="A127" s="470" t="s">
        <v>150</v>
      </c>
      <c r="B127" s="471"/>
      <c r="C127" s="471"/>
      <c r="D127" s="471"/>
      <c r="E127" s="471"/>
      <c r="F127" s="471"/>
      <c r="G127" s="471"/>
      <c r="H127" s="471"/>
      <c r="I127" s="492"/>
      <c r="J127" s="368">
        <f>J125+J126</f>
        <v>572.91693779051036</v>
      </c>
    </row>
    <row r="128" spans="1:10" x14ac:dyDescent="0.25">
      <c r="A128" s="493"/>
      <c r="B128" s="494"/>
      <c r="C128" s="494"/>
      <c r="D128" s="494"/>
      <c r="E128" s="494"/>
      <c r="F128" s="494"/>
      <c r="G128" s="494"/>
      <c r="H128" s="494"/>
      <c r="I128" s="494"/>
      <c r="J128" s="494"/>
    </row>
    <row r="129" spans="1:10" x14ac:dyDescent="0.25">
      <c r="A129" s="429" t="s">
        <v>168</v>
      </c>
      <c r="B129" s="429"/>
      <c r="C129" s="429"/>
      <c r="D129" s="429"/>
      <c r="E129" s="429"/>
      <c r="F129" s="429"/>
      <c r="G129" s="429"/>
      <c r="H129" s="429"/>
      <c r="I129" s="429"/>
      <c r="J129" s="429"/>
    </row>
    <row r="130" spans="1:10" x14ac:dyDescent="0.25">
      <c r="A130" s="7">
        <v>5</v>
      </c>
      <c r="B130" s="454" t="s">
        <v>169</v>
      </c>
      <c r="C130" s="454"/>
      <c r="D130" s="454"/>
      <c r="E130" s="454"/>
      <c r="F130" s="454"/>
      <c r="G130" s="454"/>
      <c r="H130" s="454"/>
      <c r="I130" s="454"/>
      <c r="J130" s="353" t="s">
        <v>15</v>
      </c>
    </row>
    <row r="131" spans="1:10" x14ac:dyDescent="0.25">
      <c r="A131" s="52" t="s">
        <v>23</v>
      </c>
      <c r="B131" s="448" t="s">
        <v>170</v>
      </c>
      <c r="C131" s="448"/>
      <c r="D131" s="448"/>
      <c r="E131" s="448"/>
      <c r="F131" s="448"/>
      <c r="G131" s="448"/>
      <c r="H131" s="448"/>
      <c r="I131" s="448"/>
      <c r="J131" s="358">
        <f>'Média de custo - Equipamentos '!G13</f>
        <v>44.148333333333341</v>
      </c>
    </row>
    <row r="132" spans="1:10" x14ac:dyDescent="0.25">
      <c r="A132" s="52" t="s">
        <v>30</v>
      </c>
      <c r="B132" s="499" t="s">
        <v>171</v>
      </c>
      <c r="C132" s="499"/>
      <c r="D132" s="499"/>
      <c r="E132" s="499"/>
      <c r="F132" s="499"/>
      <c r="G132" s="499"/>
      <c r="H132" s="499"/>
      <c r="I132" s="499"/>
      <c r="J132" s="369"/>
    </row>
    <row r="133" spans="1:10" x14ac:dyDescent="0.25">
      <c r="A133" s="52" t="s">
        <v>32</v>
      </c>
      <c r="B133" s="448" t="s">
        <v>172</v>
      </c>
      <c r="C133" s="448"/>
      <c r="D133" s="448"/>
      <c r="E133" s="448"/>
      <c r="F133" s="448"/>
      <c r="G133" s="448"/>
      <c r="H133" s="448"/>
      <c r="I133" s="448"/>
      <c r="J133" s="358">
        <f>'Média de custo - Equipamentos '!J26</f>
        <v>216.72442857142855</v>
      </c>
    </row>
    <row r="134" spans="1:10" x14ac:dyDescent="0.25">
      <c r="A134" s="150" t="s">
        <v>25</v>
      </c>
      <c r="B134" s="448" t="s">
        <v>173</v>
      </c>
      <c r="C134" s="448"/>
      <c r="D134" s="448"/>
      <c r="E134" s="448"/>
      <c r="F134" s="448"/>
      <c r="G134" s="448"/>
      <c r="H134" s="448"/>
      <c r="I134" s="448"/>
      <c r="J134" s="369"/>
    </row>
    <row r="135" spans="1:10" x14ac:dyDescent="0.25">
      <c r="A135" s="52"/>
      <c r="B135" s="454" t="s">
        <v>57</v>
      </c>
      <c r="C135" s="454"/>
      <c r="D135" s="454"/>
      <c r="E135" s="454"/>
      <c r="F135" s="454"/>
      <c r="G135" s="454"/>
      <c r="H135" s="454"/>
      <c r="I135" s="454"/>
      <c r="J135" s="360">
        <f>SUM(J131:J133)</f>
        <v>260.87276190476189</v>
      </c>
    </row>
    <row r="136" spans="1:10" x14ac:dyDescent="0.25">
      <c r="A136" s="495"/>
      <c r="B136" s="496"/>
      <c r="C136" s="496"/>
      <c r="D136" s="496"/>
      <c r="E136" s="496"/>
      <c r="F136" s="496"/>
      <c r="G136" s="496"/>
      <c r="H136" s="496"/>
      <c r="I136" s="496"/>
      <c r="J136" s="496"/>
    </row>
    <row r="137" spans="1:10" ht="20.25" customHeight="1" x14ac:dyDescent="0.25">
      <c r="A137" s="459" t="s">
        <v>174</v>
      </c>
      <c r="B137" s="459"/>
      <c r="C137" s="459"/>
      <c r="D137" s="459"/>
      <c r="E137" s="459"/>
      <c r="F137" s="459"/>
      <c r="G137" s="459"/>
      <c r="H137" s="459"/>
      <c r="I137" s="459"/>
      <c r="J137" s="459"/>
    </row>
    <row r="138" spans="1:10" x14ac:dyDescent="0.25">
      <c r="A138" s="497"/>
      <c r="B138" s="460"/>
      <c r="C138" s="460"/>
      <c r="D138" s="460"/>
      <c r="E138" s="460"/>
      <c r="F138" s="460"/>
      <c r="G138" s="460"/>
      <c r="H138" s="460"/>
      <c r="I138" s="460"/>
      <c r="J138" s="460"/>
    </row>
    <row r="139" spans="1:10" x14ac:dyDescent="0.25">
      <c r="A139" s="436" t="s">
        <v>175</v>
      </c>
      <c r="B139" s="437"/>
      <c r="C139" s="437"/>
      <c r="D139" s="437"/>
      <c r="E139" s="437"/>
      <c r="F139" s="437"/>
      <c r="G139" s="437"/>
      <c r="H139" s="437"/>
      <c r="I139" s="437"/>
      <c r="J139" s="438"/>
    </row>
    <row r="140" spans="1:10" x14ac:dyDescent="0.25">
      <c r="A140" s="87">
        <v>6</v>
      </c>
      <c r="B140" s="498" t="s">
        <v>39</v>
      </c>
      <c r="C140" s="498"/>
      <c r="D140" s="498"/>
      <c r="E140" s="498"/>
      <c r="F140" s="498"/>
      <c r="G140" s="498"/>
      <c r="H140" s="498"/>
      <c r="I140" s="363" t="s">
        <v>176</v>
      </c>
      <c r="J140" s="353" t="s">
        <v>15</v>
      </c>
    </row>
    <row r="141" spans="1:10" x14ac:dyDescent="0.25">
      <c r="A141" s="52" t="s">
        <v>23</v>
      </c>
      <c r="B141" s="501" t="s">
        <v>41</v>
      </c>
      <c r="C141" s="501"/>
      <c r="D141" s="501"/>
      <c r="E141" s="501"/>
      <c r="F141" s="501"/>
      <c r="G141" s="501"/>
      <c r="H141" s="501"/>
      <c r="I141" s="382">
        <f>'Media de custo com mão de o (2)'!M16</f>
        <v>5.6599999999999998E-2</v>
      </c>
      <c r="J141" s="284">
        <f>I141*J164</f>
        <v>295.70194307043693</v>
      </c>
    </row>
    <row r="142" spans="1:10" x14ac:dyDescent="0.25">
      <c r="A142" s="387" t="s">
        <v>387</v>
      </c>
      <c r="B142" s="430" t="s">
        <v>388</v>
      </c>
      <c r="C142" s="431"/>
      <c r="D142" s="431"/>
      <c r="E142" s="431"/>
      <c r="F142" s="431"/>
      <c r="G142" s="431"/>
      <c r="H142" s="432"/>
      <c r="I142" s="382"/>
      <c r="J142" s="284">
        <f>155/14</f>
        <v>11.071428571428571</v>
      </c>
    </row>
    <row r="143" spans="1:10" x14ac:dyDescent="0.25">
      <c r="A143" s="52" t="s">
        <v>42</v>
      </c>
      <c r="B143" s="486" t="s">
        <v>43</v>
      </c>
      <c r="C143" s="501"/>
      <c r="D143" s="501"/>
      <c r="E143" s="501"/>
      <c r="F143" s="501"/>
      <c r="G143" s="501"/>
      <c r="H143" s="501"/>
      <c r="I143" s="382">
        <f>'Media de custo com mão de o (2)'!M17</f>
        <v>5.8999999999999997E-2</v>
      </c>
      <c r="J143" s="284">
        <f>(J164+J141+J142)*I143</f>
        <v>326.34017029004633</v>
      </c>
    </row>
    <row r="144" spans="1:10" x14ac:dyDescent="0.25">
      <c r="A144" s="52" t="s">
        <v>32</v>
      </c>
      <c r="B144" s="501" t="s">
        <v>177</v>
      </c>
      <c r="C144" s="501"/>
      <c r="D144" s="501"/>
      <c r="E144" s="501"/>
      <c r="F144" s="501"/>
      <c r="G144" s="501"/>
      <c r="H144" s="501"/>
      <c r="I144" s="383"/>
      <c r="J144" s="370"/>
    </row>
    <row r="145" spans="1:10" x14ac:dyDescent="0.25">
      <c r="A145" s="52"/>
      <c r="B145" s="486" t="s">
        <v>178</v>
      </c>
      <c r="C145" s="486"/>
      <c r="D145" s="486"/>
      <c r="E145" s="486"/>
      <c r="F145" s="486"/>
      <c r="G145" s="486"/>
      <c r="H145" s="486"/>
      <c r="I145" s="383"/>
      <c r="J145" s="284"/>
    </row>
    <row r="146" spans="1:10" x14ac:dyDescent="0.25">
      <c r="A146" s="52"/>
      <c r="B146" s="502" t="s">
        <v>179</v>
      </c>
      <c r="C146" s="503"/>
      <c r="D146" s="503"/>
      <c r="E146" s="503"/>
      <c r="F146" s="503"/>
      <c r="G146" s="503"/>
      <c r="H146" s="504"/>
      <c r="I146" s="384">
        <v>0.03</v>
      </c>
      <c r="J146" s="284">
        <f>I146*$J$166</f>
        <v>192.36550073037716</v>
      </c>
    </row>
    <row r="147" spans="1:10" x14ac:dyDescent="0.25">
      <c r="A147" s="52"/>
      <c r="B147" s="502" t="s">
        <v>180</v>
      </c>
      <c r="C147" s="503"/>
      <c r="D147" s="503"/>
      <c r="E147" s="503"/>
      <c r="F147" s="503"/>
      <c r="G147" s="503"/>
      <c r="H147" s="504"/>
      <c r="I147" s="384">
        <v>6.4999999999999997E-3</v>
      </c>
      <c r="J147" s="284">
        <f>I147*$J$166</f>
        <v>41.679191824915051</v>
      </c>
    </row>
    <row r="148" spans="1:10" x14ac:dyDescent="0.25">
      <c r="A148" s="52"/>
      <c r="B148" s="486" t="s">
        <v>181</v>
      </c>
      <c r="C148" s="486"/>
      <c r="D148" s="486"/>
      <c r="E148" s="486"/>
      <c r="F148" s="486"/>
      <c r="G148" s="486"/>
      <c r="H148" s="486"/>
      <c r="I148" s="348"/>
      <c r="J148" s="284"/>
    </row>
    <row r="149" spans="1:10" x14ac:dyDescent="0.25">
      <c r="A149" s="52"/>
      <c r="B149" s="500" t="s">
        <v>182</v>
      </c>
      <c r="C149" s="500"/>
      <c r="D149" s="500"/>
      <c r="E149" s="500"/>
      <c r="F149" s="500"/>
      <c r="G149" s="500"/>
      <c r="H149" s="500"/>
      <c r="I149" s="385"/>
      <c r="J149" s="284"/>
    </row>
    <row r="150" spans="1:10" x14ac:dyDescent="0.25">
      <c r="A150" s="52"/>
      <c r="B150" s="430" t="s">
        <v>183</v>
      </c>
      <c r="C150" s="431"/>
      <c r="D150" s="431"/>
      <c r="E150" s="431"/>
      <c r="F150" s="431"/>
      <c r="G150" s="431"/>
      <c r="H150" s="432"/>
      <c r="I150" s="386">
        <v>0.05</v>
      </c>
      <c r="J150" s="284">
        <f t="shared" ref="J150" si="3">I150*$J$166</f>
        <v>320.60916788396196</v>
      </c>
    </row>
    <row r="151" spans="1:10" x14ac:dyDescent="0.25">
      <c r="A151" s="52"/>
      <c r="B151" s="454" t="s">
        <v>57</v>
      </c>
      <c r="C151" s="454"/>
      <c r="D151" s="454"/>
      <c r="E151" s="454"/>
      <c r="F151" s="454"/>
      <c r="G151" s="454"/>
      <c r="H151" s="454"/>
      <c r="I151" s="383"/>
      <c r="J151" s="358">
        <f>SUM(J141:J150)</f>
        <v>1187.7674023711661</v>
      </c>
    </row>
    <row r="152" spans="1:10" x14ac:dyDescent="0.25">
      <c r="A152" s="496"/>
      <c r="B152" s="496"/>
      <c r="C152" s="496"/>
      <c r="D152" s="496"/>
      <c r="E152" s="496"/>
      <c r="F152" s="496"/>
      <c r="G152" s="496"/>
      <c r="H152" s="496"/>
      <c r="I152" s="496"/>
      <c r="J152" s="496"/>
    </row>
    <row r="153" spans="1:10" x14ac:dyDescent="0.25">
      <c r="A153" s="459" t="s">
        <v>184</v>
      </c>
      <c r="B153" s="459"/>
      <c r="C153" s="459"/>
      <c r="D153" s="459"/>
      <c r="E153" s="459"/>
      <c r="F153" s="459"/>
      <c r="G153" s="459"/>
      <c r="H153" s="459"/>
      <c r="I153" s="459"/>
      <c r="J153" s="459"/>
    </row>
    <row r="154" spans="1:10" x14ac:dyDescent="0.25">
      <c r="A154" s="459" t="s">
        <v>185</v>
      </c>
      <c r="B154" s="459"/>
      <c r="C154" s="459"/>
      <c r="D154" s="459"/>
      <c r="E154" s="459"/>
      <c r="F154" s="459"/>
      <c r="G154" s="459"/>
      <c r="H154" s="459"/>
      <c r="I154" s="459"/>
      <c r="J154" s="459"/>
    </row>
    <row r="155" spans="1:10" x14ac:dyDescent="0.25">
      <c r="A155" s="496"/>
      <c r="B155" s="496"/>
      <c r="C155" s="496"/>
      <c r="D155" s="496"/>
      <c r="E155" s="496"/>
      <c r="F155" s="496"/>
      <c r="G155" s="496"/>
      <c r="H155" s="496"/>
      <c r="I155" s="496"/>
      <c r="J155" s="496"/>
    </row>
    <row r="156" spans="1:10" x14ac:dyDescent="0.25">
      <c r="A156" s="496"/>
      <c r="B156" s="496"/>
      <c r="C156" s="496"/>
      <c r="D156" s="496"/>
      <c r="E156" s="496"/>
      <c r="F156" s="496"/>
      <c r="G156" s="496"/>
      <c r="H156" s="496"/>
      <c r="I156" s="496"/>
      <c r="J156" s="496"/>
    </row>
    <row r="157" spans="1:10" x14ac:dyDescent="0.25">
      <c r="A157" s="465" t="s">
        <v>186</v>
      </c>
      <c r="B157" s="465"/>
      <c r="C157" s="465"/>
      <c r="D157" s="465"/>
      <c r="E157" s="465"/>
      <c r="F157" s="465"/>
      <c r="G157" s="465"/>
      <c r="H157" s="465"/>
      <c r="I157" s="465"/>
      <c r="J157" s="465"/>
    </row>
    <row r="158" spans="1:10" x14ac:dyDescent="0.25">
      <c r="A158" s="7">
        <v>2</v>
      </c>
      <c r="B158" s="441"/>
      <c r="C158" s="441"/>
      <c r="D158" s="441"/>
      <c r="E158" s="441"/>
      <c r="F158" s="441"/>
      <c r="G158" s="441"/>
      <c r="H158" s="441"/>
      <c r="I158" s="441"/>
      <c r="J158" s="353" t="s">
        <v>15</v>
      </c>
    </row>
    <row r="159" spans="1:10" x14ac:dyDescent="0.25">
      <c r="A159" s="52" t="s">
        <v>23</v>
      </c>
      <c r="B159" s="448" t="s">
        <v>187</v>
      </c>
      <c r="C159" s="448"/>
      <c r="D159" s="448"/>
      <c r="E159" s="448"/>
      <c r="F159" s="448"/>
      <c r="G159" s="448"/>
      <c r="H159" s="448"/>
      <c r="I159" s="448"/>
      <c r="J159" s="284">
        <f>J36</f>
        <v>2213.2370000000001</v>
      </c>
    </row>
    <row r="160" spans="1:10" x14ac:dyDescent="0.25">
      <c r="A160" s="52" t="s">
        <v>30</v>
      </c>
      <c r="B160" s="448" t="s">
        <v>109</v>
      </c>
      <c r="C160" s="448"/>
      <c r="D160" s="448"/>
      <c r="E160" s="448"/>
      <c r="F160" s="448"/>
      <c r="G160" s="448"/>
      <c r="H160" s="448"/>
      <c r="I160" s="448"/>
      <c r="J160" s="284">
        <f>J89</f>
        <v>2020.0829931904002</v>
      </c>
    </row>
    <row r="161" spans="1:11" x14ac:dyDescent="0.25">
      <c r="A161" s="52" t="s">
        <v>32</v>
      </c>
      <c r="B161" s="448" t="s">
        <v>151</v>
      </c>
      <c r="C161" s="448"/>
      <c r="D161" s="448"/>
      <c r="E161" s="448"/>
      <c r="F161" s="448"/>
      <c r="G161" s="448"/>
      <c r="H161" s="448"/>
      <c r="I161" s="448"/>
      <c r="J161" s="284">
        <f>J100</f>
        <v>157.30626242240004</v>
      </c>
    </row>
    <row r="162" spans="1:11" x14ac:dyDescent="0.25">
      <c r="A162" s="52" t="s">
        <v>25</v>
      </c>
      <c r="B162" s="448" t="s">
        <v>158</v>
      </c>
      <c r="C162" s="448"/>
      <c r="D162" s="448"/>
      <c r="E162" s="448"/>
      <c r="F162" s="448"/>
      <c r="G162" s="448"/>
      <c r="H162" s="448"/>
      <c r="I162" s="448"/>
      <c r="J162" s="284">
        <f>J127</f>
        <v>572.91693779051036</v>
      </c>
    </row>
    <row r="163" spans="1:11" x14ac:dyDescent="0.25">
      <c r="A163" s="52" t="s">
        <v>20</v>
      </c>
      <c r="B163" s="455" t="s">
        <v>188</v>
      </c>
      <c r="C163" s="448"/>
      <c r="D163" s="448"/>
      <c r="E163" s="448"/>
      <c r="F163" s="448"/>
      <c r="G163" s="448"/>
      <c r="H163" s="448"/>
      <c r="I163" s="448"/>
      <c r="J163" s="284">
        <f>J135</f>
        <v>260.87276190476189</v>
      </c>
    </row>
    <row r="164" spans="1:11" x14ac:dyDescent="0.25">
      <c r="A164" s="454" t="s">
        <v>189</v>
      </c>
      <c r="B164" s="454"/>
      <c r="C164" s="454"/>
      <c r="D164" s="454"/>
      <c r="E164" s="454"/>
      <c r="F164" s="454"/>
      <c r="G164" s="454"/>
      <c r="H164" s="454"/>
      <c r="I164" s="454"/>
      <c r="J164" s="362">
        <f>SUM(J159:J163)</f>
        <v>5224.4159553080726</v>
      </c>
    </row>
    <row r="165" spans="1:11" ht="28.5" customHeight="1" x14ac:dyDescent="0.25">
      <c r="A165" s="52" t="s">
        <v>37</v>
      </c>
      <c r="B165" s="448" t="s">
        <v>190</v>
      </c>
      <c r="C165" s="448"/>
      <c r="D165" s="448"/>
      <c r="E165" s="448"/>
      <c r="F165" s="448"/>
      <c r="G165" s="448"/>
      <c r="H165" s="448"/>
      <c r="I165" s="448"/>
      <c r="J165" s="284">
        <f>J151</f>
        <v>1187.7674023711661</v>
      </c>
    </row>
    <row r="166" spans="1:11" x14ac:dyDescent="0.25">
      <c r="A166" s="466" t="s">
        <v>191</v>
      </c>
      <c r="B166" s="481"/>
      <c r="C166" s="481"/>
      <c r="D166" s="481"/>
      <c r="E166" s="481"/>
      <c r="F166" s="481"/>
      <c r="G166" s="481"/>
      <c r="H166" s="481"/>
      <c r="I166" s="505"/>
      <c r="J166" s="371">
        <f>(J141+J142+J143+J164)/(1-(I146+I147+I150))</f>
        <v>6412.1833576792387</v>
      </c>
      <c r="K166" s="53"/>
    </row>
    <row r="167" spans="1:11" x14ac:dyDescent="0.25">
      <c r="A167" s="506"/>
      <c r="B167" s="506"/>
      <c r="C167" s="506"/>
      <c r="D167" s="506"/>
      <c r="E167" s="506"/>
      <c r="F167" s="506"/>
      <c r="G167" s="506"/>
      <c r="H167" s="506"/>
      <c r="I167" s="506"/>
      <c r="J167" s="506"/>
    </row>
    <row r="168" spans="1:11" x14ac:dyDescent="0.25">
      <c r="K168" s="53"/>
    </row>
    <row r="170" spans="1:11" x14ac:dyDescent="0.25">
      <c r="J170" s="399"/>
    </row>
  </sheetData>
  <mergeCells count="181">
    <mergeCell ref="A166:I166"/>
    <mergeCell ref="A167:J167"/>
    <mergeCell ref="B160:I160"/>
    <mergeCell ref="B161:I161"/>
    <mergeCell ref="B162:I162"/>
    <mergeCell ref="B163:I163"/>
    <mergeCell ref="A164:I164"/>
    <mergeCell ref="B165:I165"/>
    <mergeCell ref="A154:J154"/>
    <mergeCell ref="A155:J155"/>
    <mergeCell ref="A156:J156"/>
    <mergeCell ref="A157:J157"/>
    <mergeCell ref="B158:I158"/>
    <mergeCell ref="B159:I159"/>
    <mergeCell ref="B148:H148"/>
    <mergeCell ref="B149:H149"/>
    <mergeCell ref="B150:H150"/>
    <mergeCell ref="B151:H151"/>
    <mergeCell ref="A152:J152"/>
    <mergeCell ref="A153:J153"/>
    <mergeCell ref="B141:H141"/>
    <mergeCell ref="B143:H143"/>
    <mergeCell ref="B144:H144"/>
    <mergeCell ref="B145:H145"/>
    <mergeCell ref="B146:H146"/>
    <mergeCell ref="B147:H147"/>
    <mergeCell ref="B142:H142"/>
    <mergeCell ref="B135:I135"/>
    <mergeCell ref="A136:J136"/>
    <mergeCell ref="A137:J137"/>
    <mergeCell ref="A138:J138"/>
    <mergeCell ref="A139:J139"/>
    <mergeCell ref="B140:H140"/>
    <mergeCell ref="A129:J129"/>
    <mergeCell ref="B130:I130"/>
    <mergeCell ref="B131:I131"/>
    <mergeCell ref="B132:I132"/>
    <mergeCell ref="B133:I133"/>
    <mergeCell ref="B134:I134"/>
    <mergeCell ref="A123:J123"/>
    <mergeCell ref="B124:I124"/>
    <mergeCell ref="B125:I125"/>
    <mergeCell ref="B126:I126"/>
    <mergeCell ref="A127:I127"/>
    <mergeCell ref="A128:J128"/>
    <mergeCell ref="A117:J117"/>
    <mergeCell ref="A118:J118"/>
    <mergeCell ref="B119:H119"/>
    <mergeCell ref="B120:H120"/>
    <mergeCell ref="A121:H121"/>
    <mergeCell ref="A122:J122"/>
    <mergeCell ref="B111:H111"/>
    <mergeCell ref="B112:H112"/>
    <mergeCell ref="B113:H113"/>
    <mergeCell ref="B114:H114"/>
    <mergeCell ref="B115:H115"/>
    <mergeCell ref="A116:I116"/>
    <mergeCell ref="A105:J105"/>
    <mergeCell ref="A106:J106"/>
    <mergeCell ref="A107:J107"/>
    <mergeCell ref="A108:J108"/>
    <mergeCell ref="B109:H109"/>
    <mergeCell ref="B110:H110"/>
    <mergeCell ref="B99:H99"/>
    <mergeCell ref="B100:H100"/>
    <mergeCell ref="A101:J101"/>
    <mergeCell ref="A102:J102"/>
    <mergeCell ref="A103:J103"/>
    <mergeCell ref="A104:J104"/>
    <mergeCell ref="B93:H93"/>
    <mergeCell ref="B94:H94"/>
    <mergeCell ref="B95:H95"/>
    <mergeCell ref="B96:H96"/>
    <mergeCell ref="B97:H97"/>
    <mergeCell ref="B98:H98"/>
    <mergeCell ref="B87:I87"/>
    <mergeCell ref="B88:I88"/>
    <mergeCell ref="B89:I89"/>
    <mergeCell ref="A90:J90"/>
    <mergeCell ref="A91:J91"/>
    <mergeCell ref="A92:J92"/>
    <mergeCell ref="A81:J81"/>
    <mergeCell ref="A82:J82"/>
    <mergeCell ref="A83:J83"/>
    <mergeCell ref="A84:J84"/>
    <mergeCell ref="B85:I85"/>
    <mergeCell ref="B86:I86"/>
    <mergeCell ref="B73:I73"/>
    <mergeCell ref="B74:I74"/>
    <mergeCell ref="B75:I75"/>
    <mergeCell ref="B78:I78"/>
    <mergeCell ref="A79:J79"/>
    <mergeCell ref="A80:J80"/>
    <mergeCell ref="A67:J67"/>
    <mergeCell ref="A68:J68"/>
    <mergeCell ref="A69:J69"/>
    <mergeCell ref="B70:I70"/>
    <mergeCell ref="B71:I71"/>
    <mergeCell ref="B72:I72"/>
    <mergeCell ref="B77:I77"/>
    <mergeCell ref="B76:I76"/>
    <mergeCell ref="B61:H61"/>
    <mergeCell ref="B62:H62"/>
    <mergeCell ref="A63:H63"/>
    <mergeCell ref="A64:J64"/>
    <mergeCell ref="A65:J65"/>
    <mergeCell ref="A66:J66"/>
    <mergeCell ref="B55:H55"/>
    <mergeCell ref="B56:H56"/>
    <mergeCell ref="B57:H57"/>
    <mergeCell ref="B58:H58"/>
    <mergeCell ref="B59:H59"/>
    <mergeCell ref="B60:H60"/>
    <mergeCell ref="A49:J49"/>
    <mergeCell ref="A50:J50"/>
    <mergeCell ref="A51:J51"/>
    <mergeCell ref="A52:J52"/>
    <mergeCell ref="A53:J53"/>
    <mergeCell ref="B54:H54"/>
    <mergeCell ref="A43:J43"/>
    <mergeCell ref="B44:I44"/>
    <mergeCell ref="B45:H45"/>
    <mergeCell ref="B46:H46"/>
    <mergeCell ref="A47:H47"/>
    <mergeCell ref="A48:J48"/>
    <mergeCell ref="B36:I36"/>
    <mergeCell ref="A37:J37"/>
    <mergeCell ref="A38:J38"/>
    <mergeCell ref="A39:J39"/>
    <mergeCell ref="A40:J40"/>
    <mergeCell ref="A41:J41"/>
    <mergeCell ref="A29:J29"/>
    <mergeCell ref="A31:J31"/>
    <mergeCell ref="B32:I32"/>
    <mergeCell ref="B33:I33"/>
    <mergeCell ref="B34:I34"/>
    <mergeCell ref="B35:I35"/>
    <mergeCell ref="B26:G26"/>
    <mergeCell ref="H26:J26"/>
    <mergeCell ref="B27:G27"/>
    <mergeCell ref="H27:J27"/>
    <mergeCell ref="B28:G28"/>
    <mergeCell ref="H28:J28"/>
    <mergeCell ref="B23:G23"/>
    <mergeCell ref="H23:J23"/>
    <mergeCell ref="B24:G24"/>
    <mergeCell ref="H24:J24"/>
    <mergeCell ref="B25:G25"/>
    <mergeCell ref="H25:J25"/>
    <mergeCell ref="B20:G20"/>
    <mergeCell ref="H20:J20"/>
    <mergeCell ref="B21:G21"/>
    <mergeCell ref="H21:J21"/>
    <mergeCell ref="B22:G22"/>
    <mergeCell ref="H22:J22"/>
    <mergeCell ref="A14:J14"/>
    <mergeCell ref="A15:J15"/>
    <mergeCell ref="A16:J16"/>
    <mergeCell ref="A17:J17"/>
    <mergeCell ref="A18:J18"/>
    <mergeCell ref="B19:G19"/>
    <mergeCell ref="H19:J19"/>
    <mergeCell ref="A12:G12"/>
    <mergeCell ref="H12:I12"/>
    <mergeCell ref="A13:G13"/>
    <mergeCell ref="H13:I13"/>
    <mergeCell ref="B7:F7"/>
    <mergeCell ref="G7:J7"/>
    <mergeCell ref="B8:F8"/>
    <mergeCell ref="G8:J8"/>
    <mergeCell ref="B9:F9"/>
    <mergeCell ref="G9:J9"/>
    <mergeCell ref="A1:J1"/>
    <mergeCell ref="A2:J2"/>
    <mergeCell ref="A3:J3"/>
    <mergeCell ref="A4:J4"/>
    <mergeCell ref="A5:J5"/>
    <mergeCell ref="B6:F6"/>
    <mergeCell ref="G6:J6"/>
    <mergeCell ref="A10:J10"/>
    <mergeCell ref="A11:J11"/>
  </mergeCells>
  <pageMargins left="0.511811024" right="0.511811024" top="0.78740157499999996" bottom="0.78740157499999996" header="0.31496062000000002" footer="0.31496062000000002"/>
  <pageSetup paperSize="9" scale="68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3FEF5-49EB-4F8E-8699-94D479538653}">
  <sheetPr>
    <pageSetUpPr fitToPage="1"/>
  </sheetPr>
  <dimension ref="A1:Q137"/>
  <sheetViews>
    <sheetView topLeftCell="A82" zoomScaleNormal="100" zoomScaleSheetLayoutView="70" zoomScalePageLayoutView="50" workbookViewId="0">
      <selection activeCell="J92" sqref="J92"/>
    </sheetView>
  </sheetViews>
  <sheetFormatPr defaultRowHeight="15" x14ac:dyDescent="0.25"/>
  <cols>
    <col min="1" max="1" width="7.85546875" customWidth="1"/>
    <col min="2" max="2" width="10.28515625" customWidth="1"/>
    <col min="3" max="3" width="12.7109375" customWidth="1"/>
    <col min="4" max="4" width="11.7109375" customWidth="1"/>
    <col min="5" max="5" width="14" customWidth="1"/>
    <col min="6" max="6" width="13.42578125" customWidth="1"/>
    <col min="7" max="7" width="10.7109375" customWidth="1"/>
    <col min="8" max="8" width="8" customWidth="1"/>
    <col min="9" max="9" width="6.28515625" customWidth="1"/>
    <col min="10" max="10" width="30.140625" customWidth="1"/>
    <col min="12" max="12" width="9.28515625" bestFit="1" customWidth="1"/>
    <col min="13" max="13" width="10.5703125" bestFit="1" customWidth="1"/>
  </cols>
  <sheetData>
    <row r="1" spans="1:10" ht="69.75" customHeight="1" thickTop="1" thickBot="1" x14ac:dyDescent="0.3">
      <c r="A1" s="520" t="s">
        <v>349</v>
      </c>
      <c r="B1" s="520"/>
      <c r="C1" s="520"/>
      <c r="D1" s="520"/>
      <c r="E1" s="520"/>
      <c r="F1" s="520"/>
      <c r="G1" s="520"/>
      <c r="H1" s="520"/>
      <c r="I1" s="520"/>
      <c r="J1" s="520"/>
    </row>
    <row r="2" spans="1:10" ht="21" customHeight="1" thickTop="1" thickBot="1" x14ac:dyDescent="0.3">
      <c r="A2" s="521" t="s">
        <v>348</v>
      </c>
      <c r="B2" s="521"/>
      <c r="C2" s="521"/>
      <c r="D2" s="521"/>
      <c r="E2" s="521"/>
      <c r="F2" s="521"/>
      <c r="G2" s="521"/>
      <c r="H2" s="521"/>
      <c r="I2" s="521"/>
      <c r="J2" s="521"/>
    </row>
    <row r="3" spans="1:10" ht="16.5" thickTop="1" thickBot="1" x14ac:dyDescent="0.3">
      <c r="A3" s="513" t="s">
        <v>347</v>
      </c>
      <c r="B3" s="513"/>
      <c r="C3" s="513"/>
      <c r="D3" s="513"/>
      <c r="E3" s="513"/>
      <c r="F3" s="218"/>
      <c r="G3" s="283"/>
      <c r="H3" s="283"/>
      <c r="I3" s="173"/>
      <c r="J3" s="211"/>
    </row>
    <row r="4" spans="1:10" ht="16.5" thickTop="1" thickBot="1" x14ac:dyDescent="0.3">
      <c r="A4" s="510" t="s">
        <v>346</v>
      </c>
      <c r="B4" s="511"/>
      <c r="C4" s="511"/>
      <c r="D4" s="511"/>
      <c r="E4" s="511"/>
      <c r="F4" s="511"/>
      <c r="G4" s="511"/>
      <c r="H4" s="511"/>
      <c r="I4" s="511"/>
      <c r="J4" s="512"/>
    </row>
    <row r="5" spans="1:10" ht="16.5" thickTop="1" thickBot="1" x14ac:dyDescent="0.3">
      <c r="A5" s="514" t="str">
        <f>A2</f>
        <v>VIGILÂNCIA 12HS DIURNAS ININTERRUTAS NA ESCALA 12 X 36</v>
      </c>
      <c r="B5" s="515"/>
      <c r="C5" s="515"/>
      <c r="D5" s="515"/>
      <c r="E5" s="515"/>
      <c r="F5" s="515"/>
      <c r="G5" s="515"/>
      <c r="H5" s="515"/>
      <c r="I5" s="515"/>
      <c r="J5" s="516"/>
    </row>
    <row r="6" spans="1:10" ht="16.5" thickTop="1" thickBot="1" x14ac:dyDescent="0.3">
      <c r="A6" s="237" t="s">
        <v>345</v>
      </c>
      <c r="B6" s="191" t="s">
        <v>344</v>
      </c>
      <c r="C6" s="223"/>
      <c r="D6" s="223"/>
      <c r="E6" s="223"/>
      <c r="F6" s="260"/>
      <c r="G6" s="517">
        <v>44927</v>
      </c>
      <c r="H6" s="518"/>
      <c r="I6" s="518"/>
      <c r="J6" s="519"/>
    </row>
    <row r="7" spans="1:10" ht="16.5" thickTop="1" thickBot="1" x14ac:dyDescent="0.3">
      <c r="A7" s="237" t="s">
        <v>30</v>
      </c>
      <c r="B7" s="191" t="s">
        <v>343</v>
      </c>
      <c r="C7" s="223"/>
      <c r="D7" s="223"/>
      <c r="E7" s="223"/>
      <c r="F7" s="260"/>
      <c r="G7" s="517" t="s">
        <v>342</v>
      </c>
      <c r="H7" s="518"/>
      <c r="I7" s="518"/>
      <c r="J7" s="519"/>
    </row>
    <row r="8" spans="1:10" ht="16.5" thickTop="1" thickBot="1" x14ac:dyDescent="0.3">
      <c r="A8" s="237" t="s">
        <v>32</v>
      </c>
      <c r="B8" s="191" t="s">
        <v>341</v>
      </c>
      <c r="C8" s="223"/>
      <c r="D8" s="223"/>
      <c r="E8" s="223"/>
      <c r="F8" s="260"/>
      <c r="G8" s="517" t="s">
        <v>340</v>
      </c>
      <c r="H8" s="518"/>
      <c r="I8" s="518"/>
      <c r="J8" s="519"/>
    </row>
    <row r="9" spans="1:10" ht="16.5" thickTop="1" thickBot="1" x14ac:dyDescent="0.3">
      <c r="A9" s="237" t="s">
        <v>25</v>
      </c>
      <c r="B9" s="191" t="s">
        <v>339</v>
      </c>
      <c r="C9" s="223"/>
      <c r="D9" s="223"/>
      <c r="E9" s="223"/>
      <c r="F9" s="260"/>
      <c r="G9" s="510">
        <v>12</v>
      </c>
      <c r="H9" s="511"/>
      <c r="I9" s="511"/>
      <c r="J9" s="512"/>
    </row>
    <row r="10" spans="1:10" ht="16.5" thickTop="1" thickBot="1" x14ac:dyDescent="0.3">
      <c r="A10" s="510" t="s">
        <v>338</v>
      </c>
      <c r="B10" s="511"/>
      <c r="C10" s="511"/>
      <c r="D10" s="511"/>
      <c r="E10" s="511"/>
      <c r="F10" s="511"/>
      <c r="G10" s="511"/>
      <c r="H10" s="511"/>
      <c r="I10" s="511"/>
      <c r="J10" s="512"/>
    </row>
    <row r="11" spans="1:10" ht="16.5" thickTop="1" thickBot="1" x14ac:dyDescent="0.3">
      <c r="A11" s="522" t="s">
        <v>337</v>
      </c>
      <c r="B11" s="513"/>
      <c r="C11" s="513"/>
      <c r="D11" s="513"/>
      <c r="E11" s="513"/>
      <c r="F11" s="513"/>
      <c r="G11" s="513"/>
      <c r="H11" s="513"/>
      <c r="I11" s="513"/>
      <c r="J11" s="523"/>
    </row>
    <row r="12" spans="1:10" ht="16.5" thickTop="1" thickBot="1" x14ac:dyDescent="0.3">
      <c r="A12" s="193">
        <v>1</v>
      </c>
      <c r="B12" s="217" t="s">
        <v>80</v>
      </c>
      <c r="C12" s="169"/>
      <c r="D12" s="169"/>
      <c r="E12" s="169"/>
      <c r="F12" s="274"/>
      <c r="G12" s="507" t="str">
        <f>A5</f>
        <v>VIGILÂNCIA 12HS DIURNAS ININTERRUTAS NA ESCALA 12 X 36</v>
      </c>
      <c r="H12" s="508"/>
      <c r="I12" s="508"/>
      <c r="J12" s="509"/>
    </row>
    <row r="13" spans="1:10" ht="16.5" thickTop="1" thickBot="1" x14ac:dyDescent="0.3">
      <c r="A13" s="193">
        <v>2</v>
      </c>
      <c r="B13" s="217" t="s">
        <v>336</v>
      </c>
      <c r="C13" s="169"/>
      <c r="D13" s="169"/>
      <c r="E13" s="169"/>
      <c r="F13" s="274"/>
      <c r="G13" s="510" t="s">
        <v>335</v>
      </c>
      <c r="H13" s="511"/>
      <c r="I13" s="511"/>
      <c r="J13" s="512"/>
    </row>
    <row r="14" spans="1:10" ht="16.5" thickTop="1" thickBot="1" x14ac:dyDescent="0.3">
      <c r="A14" s="193">
        <v>3</v>
      </c>
      <c r="B14" s="217" t="s">
        <v>211</v>
      </c>
      <c r="C14" s="169"/>
      <c r="D14" s="169"/>
      <c r="E14" s="169"/>
      <c r="F14" s="274"/>
      <c r="G14" s="524">
        <v>1702.49</v>
      </c>
      <c r="H14" s="525"/>
      <c r="I14" s="525"/>
      <c r="J14" s="526"/>
    </row>
    <row r="15" spans="1:10" ht="16.5" thickTop="1" thickBot="1" x14ac:dyDescent="0.3">
      <c r="A15" s="193">
        <v>4</v>
      </c>
      <c r="B15" s="217" t="s">
        <v>334</v>
      </c>
      <c r="C15" s="169"/>
      <c r="D15" s="169"/>
      <c r="E15" s="169"/>
      <c r="F15" s="274"/>
      <c r="G15" s="517">
        <v>44927</v>
      </c>
      <c r="H15" s="518"/>
      <c r="I15" s="518"/>
      <c r="J15" s="519"/>
    </row>
    <row r="16" spans="1:10" ht="16.5" thickTop="1" thickBot="1" x14ac:dyDescent="0.3">
      <c r="A16" s="193"/>
      <c r="B16" s="169"/>
      <c r="C16" s="169"/>
      <c r="D16" s="169"/>
      <c r="E16" s="169"/>
      <c r="F16" s="169"/>
      <c r="G16" s="282"/>
      <c r="H16" s="173"/>
      <c r="I16" s="173"/>
      <c r="J16" s="211"/>
    </row>
    <row r="17" spans="1:13" ht="16.5" thickTop="1" thickBot="1" x14ac:dyDescent="0.3">
      <c r="A17" s="522" t="s">
        <v>333</v>
      </c>
      <c r="B17" s="513"/>
      <c r="C17" s="513"/>
      <c r="D17" s="513"/>
      <c r="E17" s="513"/>
      <c r="F17" s="513"/>
      <c r="G17" s="513"/>
      <c r="H17" s="513"/>
      <c r="I17" s="513"/>
      <c r="J17" s="523"/>
    </row>
    <row r="18" spans="1:13" ht="16.5" thickTop="1" thickBot="1" x14ac:dyDescent="0.3">
      <c r="A18" s="527" t="s">
        <v>332</v>
      </c>
      <c r="B18" s="528"/>
      <c r="C18" s="528"/>
      <c r="D18" s="528"/>
      <c r="E18" s="529"/>
      <c r="F18" s="533" t="s">
        <v>331</v>
      </c>
      <c r="G18" s="510" t="s">
        <v>277</v>
      </c>
      <c r="H18" s="511"/>
      <c r="I18" s="511"/>
      <c r="J18" s="512"/>
    </row>
    <row r="19" spans="1:13" ht="16.5" thickTop="1" thickBot="1" x14ac:dyDescent="0.3">
      <c r="A19" s="530"/>
      <c r="B19" s="531"/>
      <c r="C19" s="531"/>
      <c r="D19" s="531"/>
      <c r="E19" s="532"/>
      <c r="F19" s="534"/>
      <c r="G19" s="510" t="s">
        <v>330</v>
      </c>
      <c r="H19" s="511"/>
      <c r="I19" s="512"/>
      <c r="J19" s="219" t="s">
        <v>57</v>
      </c>
    </row>
    <row r="20" spans="1:13" ht="16.5" thickTop="1" thickBot="1" x14ac:dyDescent="0.3">
      <c r="A20" s="193" t="s">
        <v>23</v>
      </c>
      <c r="B20" s="217" t="s">
        <v>211</v>
      </c>
      <c r="C20" s="169"/>
      <c r="D20" s="169"/>
      <c r="E20" s="169"/>
      <c r="F20" s="171">
        <v>1</v>
      </c>
      <c r="G20" s="535">
        <f>G14</f>
        <v>1702.49</v>
      </c>
      <c r="H20" s="536"/>
      <c r="I20" s="537"/>
      <c r="J20" s="271">
        <f>G20*F20</f>
        <v>1702.49</v>
      </c>
    </row>
    <row r="21" spans="1:13" ht="16.5" thickTop="1" thickBot="1" x14ac:dyDescent="0.3">
      <c r="A21" s="193" t="s">
        <v>30</v>
      </c>
      <c r="B21" s="217" t="s">
        <v>329</v>
      </c>
      <c r="C21" s="169"/>
      <c r="D21" s="169"/>
      <c r="E21" s="169"/>
      <c r="F21" s="171">
        <v>0</v>
      </c>
      <c r="G21" s="535">
        <f>ROUND(((G20*1.3)/220)*20%,2)</f>
        <v>2.0099999999999998</v>
      </c>
      <c r="H21" s="536"/>
      <c r="I21" s="537"/>
      <c r="J21" s="271">
        <f>ROUND(F21*G21,2)</f>
        <v>0</v>
      </c>
    </row>
    <row r="22" spans="1:13" ht="16.5" thickTop="1" thickBot="1" x14ac:dyDescent="0.3">
      <c r="A22" s="193" t="s">
        <v>32</v>
      </c>
      <c r="B22" s="217" t="s">
        <v>328</v>
      </c>
      <c r="C22" s="169"/>
      <c r="D22" s="169"/>
      <c r="E22" s="169"/>
      <c r="F22" s="278">
        <v>0.16666666666666666</v>
      </c>
      <c r="G22" s="535">
        <f>J21</f>
        <v>0</v>
      </c>
      <c r="H22" s="536"/>
      <c r="I22" s="537"/>
      <c r="J22" s="271">
        <f>G22/6</f>
        <v>0</v>
      </c>
    </row>
    <row r="23" spans="1:13" ht="16.5" thickTop="1" thickBot="1" x14ac:dyDescent="0.3">
      <c r="A23" s="193" t="s">
        <v>25</v>
      </c>
      <c r="B23" s="217" t="s">
        <v>327</v>
      </c>
      <c r="C23" s="169"/>
      <c r="D23" s="169"/>
      <c r="E23" s="169"/>
      <c r="F23" s="171">
        <v>0</v>
      </c>
      <c r="G23" s="535">
        <f>(G14*1.3/220+G21)*1.5</f>
        <v>18.105252272727274</v>
      </c>
      <c r="H23" s="536"/>
      <c r="I23" s="537"/>
      <c r="J23" s="271">
        <f>ROUND(F23*G23,2)</f>
        <v>0</v>
      </c>
    </row>
    <row r="24" spans="1:13" ht="16.5" thickTop="1" thickBot="1" x14ac:dyDescent="0.3">
      <c r="A24" s="193" t="s">
        <v>20</v>
      </c>
      <c r="B24" s="217" t="s">
        <v>326</v>
      </c>
      <c r="C24" s="169"/>
      <c r="D24" s="169"/>
      <c r="E24" s="169"/>
      <c r="F24" s="278">
        <v>0.16666666666666666</v>
      </c>
      <c r="G24" s="535"/>
      <c r="H24" s="536"/>
      <c r="I24" s="537"/>
      <c r="J24" s="271">
        <f>ROUND(F24*G24,2)</f>
        <v>0</v>
      </c>
    </row>
    <row r="25" spans="1:13" ht="16.5" thickTop="1" thickBot="1" x14ac:dyDescent="0.3">
      <c r="A25" s="193" t="s">
        <v>37</v>
      </c>
      <c r="B25" s="217" t="s">
        <v>325</v>
      </c>
      <c r="C25" s="169"/>
      <c r="D25" s="169"/>
      <c r="E25" s="169">
        <f>C25*D25</f>
        <v>0</v>
      </c>
      <c r="F25" s="171">
        <v>0</v>
      </c>
      <c r="G25" s="535">
        <f>(G14*1.3/220)*1.5</f>
        <v>15.090252272727273</v>
      </c>
      <c r="H25" s="536"/>
      <c r="I25" s="537"/>
      <c r="J25" s="271">
        <f>ROUND(F25*G25,2)</f>
        <v>0</v>
      </c>
    </row>
    <row r="26" spans="1:13" ht="16.5" thickTop="1" thickBot="1" x14ac:dyDescent="0.3">
      <c r="A26" s="193" t="s">
        <v>11</v>
      </c>
      <c r="B26" s="217" t="s">
        <v>324</v>
      </c>
      <c r="C26" s="169"/>
      <c r="D26" s="169"/>
      <c r="E26" s="169"/>
      <c r="F26" s="278">
        <v>0.16666666666666666</v>
      </c>
      <c r="G26" s="535">
        <f>J25</f>
        <v>0</v>
      </c>
      <c r="H26" s="536"/>
      <c r="I26" s="537"/>
      <c r="J26" s="271">
        <f>G26/6</f>
        <v>0</v>
      </c>
    </row>
    <row r="27" spans="1:13" ht="16.5" thickTop="1" thickBot="1" x14ac:dyDescent="0.3">
      <c r="A27" s="193" t="s">
        <v>131</v>
      </c>
      <c r="B27" s="217" t="s">
        <v>323</v>
      </c>
      <c r="C27" s="169"/>
      <c r="D27" s="169"/>
      <c r="E27" s="169"/>
      <c r="F27" s="171">
        <v>0</v>
      </c>
      <c r="G27" s="535">
        <f>G23</f>
        <v>18.105252272727274</v>
      </c>
      <c r="H27" s="536"/>
      <c r="I27" s="537"/>
      <c r="J27" s="271">
        <f>+G27*F27</f>
        <v>0</v>
      </c>
    </row>
    <row r="28" spans="1:13" ht="16.5" thickTop="1" thickBot="1" x14ac:dyDescent="0.3">
      <c r="A28" s="193" t="s">
        <v>205</v>
      </c>
      <c r="B28" s="217" t="s">
        <v>322</v>
      </c>
      <c r="C28" s="169"/>
      <c r="D28" s="169"/>
      <c r="E28" s="169">
        <f>C28*D28</f>
        <v>0</v>
      </c>
      <c r="F28" s="278">
        <v>0.16666666666666666</v>
      </c>
      <c r="G28" s="535">
        <f>+J27</f>
        <v>0</v>
      </c>
      <c r="H28" s="536"/>
      <c r="I28" s="537"/>
      <c r="J28" s="271">
        <f>+J27/6</f>
        <v>0</v>
      </c>
    </row>
    <row r="29" spans="1:13" ht="16.5" thickTop="1" thickBot="1" x14ac:dyDescent="0.3">
      <c r="A29" s="193" t="s">
        <v>321</v>
      </c>
      <c r="B29" s="217" t="s">
        <v>320</v>
      </c>
      <c r="C29" s="169"/>
      <c r="D29" s="169"/>
      <c r="E29" s="169"/>
      <c r="F29" s="281">
        <v>0.3</v>
      </c>
      <c r="G29" s="535">
        <f>J20</f>
        <v>1702.49</v>
      </c>
      <c r="H29" s="536"/>
      <c r="I29" s="537"/>
      <c r="J29" s="271">
        <f>ROUND(F29*G29,2)</f>
        <v>510.75</v>
      </c>
    </row>
    <row r="30" spans="1:13" ht="16.5" thickTop="1" thickBot="1" x14ac:dyDescent="0.3">
      <c r="A30" s="193" t="s">
        <v>319</v>
      </c>
      <c r="B30" s="217" t="s">
        <v>318</v>
      </c>
      <c r="C30" s="169"/>
      <c r="D30" s="169"/>
      <c r="E30" s="169"/>
      <c r="F30" s="280">
        <v>0</v>
      </c>
      <c r="G30" s="535">
        <f>(G14*1.3/220)*2</f>
        <v>20.120336363636365</v>
      </c>
      <c r="H30" s="536"/>
      <c r="I30" s="537"/>
      <c r="J30" s="271">
        <f>+G30*F30</f>
        <v>0</v>
      </c>
      <c r="M30" s="115">
        <f>J38</f>
        <v>184.36289199999999</v>
      </c>
    </row>
    <row r="31" spans="1:13" ht="16.5" thickTop="1" thickBot="1" x14ac:dyDescent="0.3">
      <c r="A31" s="193" t="s">
        <v>317</v>
      </c>
      <c r="B31" s="217" t="s">
        <v>316</v>
      </c>
      <c r="C31" s="169"/>
      <c r="D31" s="169"/>
      <c r="E31" s="169"/>
      <c r="F31" s="278">
        <v>0</v>
      </c>
      <c r="G31" s="535">
        <f>+J30</f>
        <v>0</v>
      </c>
      <c r="H31" s="536"/>
      <c r="I31" s="537"/>
      <c r="J31" s="271">
        <v>0</v>
      </c>
    </row>
    <row r="32" spans="1:13" ht="16.5" thickTop="1" thickBot="1" x14ac:dyDescent="0.3">
      <c r="A32" s="193" t="s">
        <v>315</v>
      </c>
      <c r="B32" s="217" t="s">
        <v>314</v>
      </c>
      <c r="C32" s="169"/>
      <c r="D32" s="169"/>
      <c r="E32" s="169"/>
      <c r="F32" s="279">
        <v>0</v>
      </c>
      <c r="G32" s="535">
        <f>G30</f>
        <v>20.120336363636365</v>
      </c>
      <c r="H32" s="536"/>
      <c r="I32" s="537"/>
      <c r="J32" s="271">
        <f>ROUND(F32*G32,2)</f>
        <v>0</v>
      </c>
    </row>
    <row r="33" spans="1:17" ht="16.5" thickTop="1" thickBot="1" x14ac:dyDescent="0.3">
      <c r="A33" s="193" t="s">
        <v>313</v>
      </c>
      <c r="B33" s="217" t="s">
        <v>312</v>
      </c>
      <c r="C33" s="169"/>
      <c r="D33" s="169"/>
      <c r="E33" s="169"/>
      <c r="F33" s="278">
        <v>0.16666666666666666</v>
      </c>
      <c r="G33" s="535">
        <f>+J32</f>
        <v>0</v>
      </c>
      <c r="H33" s="536"/>
      <c r="I33" s="537"/>
      <c r="J33" s="271">
        <f>+J32/6</f>
        <v>0</v>
      </c>
    </row>
    <row r="34" spans="1:17" ht="16.5" thickTop="1" thickBot="1" x14ac:dyDescent="0.3">
      <c r="A34" s="277" t="s">
        <v>106</v>
      </c>
      <c r="B34" s="510" t="s">
        <v>107</v>
      </c>
      <c r="C34" s="511"/>
      <c r="D34" s="511"/>
      <c r="E34" s="511"/>
      <c r="F34" s="512"/>
      <c r="G34" s="535"/>
      <c r="H34" s="536"/>
      <c r="I34" s="537"/>
      <c r="J34" s="276">
        <f>SUM(J20:J33)</f>
        <v>2213.2399999999998</v>
      </c>
      <c r="K34" s="242">
        <v>1</v>
      </c>
    </row>
    <row r="35" spans="1:17" ht="16.5" thickTop="1" thickBot="1" x14ac:dyDescent="0.3">
      <c r="A35" s="152"/>
      <c r="B35" s="180"/>
      <c r="C35" s="180"/>
      <c r="D35" s="180"/>
      <c r="E35" s="180"/>
      <c r="F35" s="180"/>
      <c r="G35" s="178"/>
      <c r="H35" s="178"/>
      <c r="I35" s="178"/>
      <c r="J35" s="275"/>
    </row>
    <row r="36" spans="1:17" ht="16.5" thickTop="1" thickBot="1" x14ac:dyDescent="0.3">
      <c r="A36" s="212" t="s">
        <v>311</v>
      </c>
      <c r="B36" s="169"/>
      <c r="C36" s="169"/>
      <c r="D36" s="169"/>
      <c r="E36" s="169"/>
      <c r="F36" s="169"/>
      <c r="G36" s="173"/>
      <c r="H36" s="173"/>
      <c r="I36" s="173"/>
      <c r="J36" s="211"/>
    </row>
    <row r="37" spans="1:17" ht="16.5" thickTop="1" thickBot="1" x14ac:dyDescent="0.3">
      <c r="A37" s="219" t="s">
        <v>117</v>
      </c>
      <c r="B37" s="522" t="s">
        <v>310</v>
      </c>
      <c r="C37" s="513"/>
      <c r="D37" s="513"/>
      <c r="E37" s="513"/>
      <c r="F37" s="523"/>
      <c r="G37" s="217"/>
      <c r="H37" s="274"/>
      <c r="I37" s="235"/>
      <c r="J37" s="226" t="s">
        <v>264</v>
      </c>
    </row>
    <row r="38" spans="1:17" ht="16.5" thickTop="1" thickBot="1" x14ac:dyDescent="0.3">
      <c r="A38" s="171" t="s">
        <v>23</v>
      </c>
      <c r="B38" s="217" t="s">
        <v>309</v>
      </c>
      <c r="C38" s="170"/>
      <c r="D38" s="170"/>
      <c r="E38" s="170"/>
      <c r="F38" s="210"/>
      <c r="G38" s="538">
        <f>ROUND(1/12,4)</f>
        <v>8.3299999999999999E-2</v>
      </c>
      <c r="H38" s="539"/>
      <c r="J38" s="273">
        <f>G38*J34</f>
        <v>184.36289199999999</v>
      </c>
    </row>
    <row r="39" spans="1:17" ht="16.5" thickTop="1" thickBot="1" x14ac:dyDescent="0.3">
      <c r="A39" s="171" t="s">
        <v>30</v>
      </c>
      <c r="B39" s="540" t="s">
        <v>308</v>
      </c>
      <c r="C39" s="541"/>
      <c r="D39" s="541"/>
      <c r="E39" s="541"/>
      <c r="F39" s="542"/>
      <c r="G39" s="543">
        <f>G38+G38/3</f>
        <v>0.11106666666666666</v>
      </c>
      <c r="H39" s="544"/>
      <c r="J39" s="273">
        <f>G39*J34</f>
        <v>245.81718933333329</v>
      </c>
      <c r="O39" s="242">
        <v>0.08</v>
      </c>
      <c r="P39" s="242">
        <v>0.4</v>
      </c>
      <c r="Q39" s="272">
        <f>O39*P39</f>
        <v>3.2000000000000001E-2</v>
      </c>
    </row>
    <row r="40" spans="1:17" ht="16.5" thickTop="1" thickBot="1" x14ac:dyDescent="0.3">
      <c r="A40" s="510" t="s">
        <v>121</v>
      </c>
      <c r="B40" s="511"/>
      <c r="C40" s="511"/>
      <c r="D40" s="511"/>
      <c r="E40" s="511"/>
      <c r="F40" s="511"/>
      <c r="G40" s="511"/>
      <c r="H40" s="511"/>
      <c r="I40" s="231"/>
      <c r="J40" s="271">
        <f>J39+J38</f>
        <v>430.18008133333331</v>
      </c>
      <c r="L40" s="53">
        <f>J34+J40</f>
        <v>2643.4200813333332</v>
      </c>
    </row>
    <row r="41" spans="1:17" ht="16.5" thickTop="1" thickBot="1" x14ac:dyDescent="0.3">
      <c r="A41" s="237"/>
      <c r="B41" s="173"/>
      <c r="C41" s="173"/>
      <c r="D41" s="173"/>
      <c r="E41" s="173"/>
      <c r="F41" s="173"/>
      <c r="G41" s="173"/>
      <c r="H41" s="261"/>
      <c r="I41" s="221"/>
      <c r="J41" s="220"/>
    </row>
    <row r="42" spans="1:17" ht="16.5" thickTop="1" thickBot="1" x14ac:dyDescent="0.3">
      <c r="A42" s="212" t="s">
        <v>307</v>
      </c>
      <c r="B42" s="169"/>
      <c r="C42" s="169"/>
      <c r="D42" s="169"/>
      <c r="E42" s="169"/>
      <c r="F42" s="169"/>
      <c r="G42" s="173"/>
      <c r="H42" s="173"/>
      <c r="I42" s="173"/>
      <c r="J42" s="211"/>
      <c r="K42" s="270">
        <f>J40/J34</f>
        <v>0.19436666666666666</v>
      </c>
    </row>
    <row r="43" spans="1:17" ht="16.5" thickTop="1" thickBot="1" x14ac:dyDescent="0.3">
      <c r="A43" s="219" t="s">
        <v>4</v>
      </c>
      <c r="B43" s="522" t="s">
        <v>306</v>
      </c>
      <c r="C43" s="513"/>
      <c r="D43" s="513"/>
      <c r="E43" s="513"/>
      <c r="F43" s="523"/>
      <c r="G43" s="545" t="s">
        <v>126</v>
      </c>
      <c r="H43" s="546"/>
      <c r="I43" s="235"/>
      <c r="J43" s="226" t="s">
        <v>264</v>
      </c>
    </row>
    <row r="44" spans="1:17" ht="16.5" thickTop="1" thickBot="1" x14ac:dyDescent="0.3">
      <c r="A44" s="171" t="s">
        <v>23</v>
      </c>
      <c r="B44" s="169" t="s">
        <v>127</v>
      </c>
      <c r="C44" s="170"/>
      <c r="D44" s="170"/>
      <c r="E44" s="170"/>
      <c r="F44" s="170"/>
      <c r="G44" s="266"/>
      <c r="H44" s="250">
        <v>0.2</v>
      </c>
      <c r="I44" s="221"/>
      <c r="J44" s="225">
        <f t="shared" ref="J44:J51" si="0">H44*(J$34+J$40)</f>
        <v>528.68401626666662</v>
      </c>
    </row>
    <row r="45" spans="1:17" ht="16.5" thickTop="1" thickBot="1" x14ac:dyDescent="0.3">
      <c r="A45" s="171" t="s">
        <v>30</v>
      </c>
      <c r="B45" s="169" t="s">
        <v>305</v>
      </c>
      <c r="C45" s="170"/>
      <c r="D45" s="170"/>
      <c r="E45" s="170"/>
      <c r="F45" s="170"/>
      <c r="G45" s="266"/>
      <c r="H45" s="250">
        <v>1.4999999999999999E-2</v>
      </c>
      <c r="I45" s="221"/>
      <c r="J45" s="225">
        <f t="shared" si="0"/>
        <v>39.651301219999993</v>
      </c>
      <c r="M45" s="269">
        <f>K34+K42</f>
        <v>1.1943666666666666</v>
      </c>
    </row>
    <row r="46" spans="1:17" ht="16.5" thickTop="1" thickBot="1" x14ac:dyDescent="0.3">
      <c r="A46" s="171" t="s">
        <v>32</v>
      </c>
      <c r="B46" s="169" t="s">
        <v>130</v>
      </c>
      <c r="C46" s="170"/>
      <c r="D46" s="170"/>
      <c r="E46" s="170"/>
      <c r="F46" s="170"/>
      <c r="G46" s="266"/>
      <c r="H46" s="250">
        <v>0.01</v>
      </c>
      <c r="I46" s="221"/>
      <c r="J46" s="225">
        <f t="shared" si="0"/>
        <v>26.434200813333334</v>
      </c>
    </row>
    <row r="47" spans="1:17" ht="16.5" thickTop="1" thickBot="1" x14ac:dyDescent="0.3">
      <c r="A47" s="171" t="s">
        <v>25</v>
      </c>
      <c r="B47" s="169" t="s">
        <v>133</v>
      </c>
      <c r="C47" s="170"/>
      <c r="D47" s="170"/>
      <c r="E47" s="170"/>
      <c r="F47" s="170"/>
      <c r="G47" s="266"/>
      <c r="H47" s="250">
        <v>2E-3</v>
      </c>
      <c r="I47" s="221"/>
      <c r="J47" s="225">
        <f t="shared" si="0"/>
        <v>5.2868401626666666</v>
      </c>
      <c r="O47" s="116">
        <f>M45*Q39</f>
        <v>3.8219733333333332E-2</v>
      </c>
    </row>
    <row r="48" spans="1:17" ht="16.5" thickTop="1" thickBot="1" x14ac:dyDescent="0.3">
      <c r="A48" s="171" t="s">
        <v>20</v>
      </c>
      <c r="B48" s="169" t="s">
        <v>128</v>
      </c>
      <c r="C48" s="170"/>
      <c r="D48" s="170"/>
      <c r="E48" s="170"/>
      <c r="F48" s="170"/>
      <c r="G48" s="266"/>
      <c r="H48" s="250">
        <v>2.5000000000000001E-2</v>
      </c>
      <c r="I48" s="221"/>
      <c r="J48" s="225">
        <f t="shared" si="0"/>
        <v>66.085502033333327</v>
      </c>
    </row>
    <row r="49" spans="1:12" ht="16.5" thickTop="1" thickBot="1" x14ac:dyDescent="0.3">
      <c r="A49" s="171" t="s">
        <v>37</v>
      </c>
      <c r="B49" s="169" t="s">
        <v>134</v>
      </c>
      <c r="C49" s="170"/>
      <c r="D49" s="170"/>
      <c r="E49" s="170"/>
      <c r="F49" s="218"/>
      <c r="G49" s="266"/>
      <c r="H49" s="250">
        <v>0.08</v>
      </c>
      <c r="I49" s="221"/>
      <c r="J49" s="225">
        <f t="shared" si="0"/>
        <v>211.47360650666667</v>
      </c>
      <c r="L49" s="53">
        <f>H49*L40</f>
        <v>211.47360650666667</v>
      </c>
    </row>
    <row r="50" spans="1:12" ht="16.5" thickTop="1" thickBot="1" x14ac:dyDescent="0.3">
      <c r="A50" s="268" t="s">
        <v>11</v>
      </c>
      <c r="B50" s="267" t="s">
        <v>304</v>
      </c>
      <c r="C50" s="188"/>
      <c r="D50" s="188"/>
      <c r="E50" s="188"/>
      <c r="F50" s="188"/>
      <c r="G50" s="266"/>
      <c r="H50" s="250">
        <v>0.03</v>
      </c>
      <c r="I50" s="221"/>
      <c r="J50" s="225">
        <f t="shared" si="0"/>
        <v>79.302602439999987</v>
      </c>
      <c r="L50" s="53">
        <f>L49*40%</f>
        <v>84.589442602666679</v>
      </c>
    </row>
    <row r="51" spans="1:12" ht="16.5" thickTop="1" thickBot="1" x14ac:dyDescent="0.3">
      <c r="A51" s="265" t="s">
        <v>131</v>
      </c>
      <c r="B51" s="547" t="s">
        <v>132</v>
      </c>
      <c r="C51" s="548"/>
      <c r="D51" s="548"/>
      <c r="E51" s="548"/>
      <c r="F51" s="549"/>
      <c r="G51" s="264"/>
      <c r="H51" s="250">
        <v>6.0000000000000001E-3</v>
      </c>
      <c r="I51" s="221"/>
      <c r="J51" s="225">
        <f t="shared" si="0"/>
        <v>15.860520487999999</v>
      </c>
    </row>
    <row r="52" spans="1:12" ht="16.5" thickTop="1" thickBot="1" x14ac:dyDescent="0.3">
      <c r="A52" s="550" t="s">
        <v>121</v>
      </c>
      <c r="B52" s="551"/>
      <c r="C52" s="551"/>
      <c r="D52" s="551"/>
      <c r="E52" s="551"/>
      <c r="F52" s="552"/>
      <c r="G52" s="263"/>
      <c r="H52" s="262">
        <f>SUM(H44:H51)</f>
        <v>0.3680000000000001</v>
      </c>
      <c r="I52" s="227"/>
      <c r="J52" s="220">
        <f>SUM(J44:J51)</f>
        <v>972.7785899306665</v>
      </c>
    </row>
    <row r="53" spans="1:12" ht="16.5" thickTop="1" thickBot="1" x14ac:dyDescent="0.3">
      <c r="A53" s="237"/>
      <c r="B53" s="173"/>
      <c r="C53" s="173"/>
      <c r="D53" s="173"/>
      <c r="E53" s="173"/>
      <c r="F53" s="173"/>
      <c r="G53" s="173"/>
      <c r="H53" s="261"/>
      <c r="I53" s="221"/>
      <c r="J53" s="220"/>
    </row>
    <row r="54" spans="1:12" ht="16.5" thickTop="1" thickBot="1" x14ac:dyDescent="0.3">
      <c r="A54" s="510"/>
      <c r="B54" s="511"/>
      <c r="C54" s="511"/>
      <c r="D54" s="511"/>
      <c r="E54" s="511"/>
      <c r="F54" s="511"/>
      <c r="G54" s="511"/>
      <c r="H54" s="511"/>
      <c r="I54" s="511"/>
      <c r="J54" s="512"/>
    </row>
    <row r="55" spans="1:12" ht="16.5" thickTop="1" thickBot="1" x14ac:dyDescent="0.3">
      <c r="A55" s="522" t="s">
        <v>303</v>
      </c>
      <c r="B55" s="513"/>
      <c r="C55" s="513"/>
      <c r="D55" s="513"/>
      <c r="E55" s="513"/>
      <c r="F55" s="523"/>
      <c r="G55" s="510" t="s">
        <v>302</v>
      </c>
      <c r="H55" s="511"/>
      <c r="I55" s="511"/>
      <c r="J55" s="512"/>
    </row>
    <row r="56" spans="1:12" ht="16.5" thickTop="1" thickBot="1" x14ac:dyDescent="0.3">
      <c r="A56" s="193" t="s">
        <v>23</v>
      </c>
      <c r="B56" s="217" t="s">
        <v>301</v>
      </c>
      <c r="C56" s="169"/>
      <c r="D56" s="169"/>
      <c r="E56" s="169"/>
      <c r="F56" s="216"/>
      <c r="G56" s="553">
        <f>(15*2*4)-(J20*6%)</f>
        <v>17.8506</v>
      </c>
      <c r="H56" s="554"/>
      <c r="I56" s="554"/>
      <c r="J56" s="555"/>
    </row>
    <row r="57" spans="1:12" ht="16.5" thickTop="1" thickBot="1" x14ac:dyDescent="0.3">
      <c r="A57" s="193" t="s">
        <v>42</v>
      </c>
      <c r="B57" s="217" t="s">
        <v>300</v>
      </c>
      <c r="C57" s="169"/>
      <c r="D57" s="169"/>
      <c r="E57" s="169"/>
      <c r="F57" s="216"/>
      <c r="G57" s="553">
        <f>(15*36)-1%*(15*36)</f>
        <v>534.6</v>
      </c>
      <c r="H57" s="554"/>
      <c r="I57" s="554"/>
      <c r="J57" s="555"/>
    </row>
    <row r="58" spans="1:12" ht="16.5" thickTop="1" thickBot="1" x14ac:dyDescent="0.3">
      <c r="A58" s="193" t="s">
        <v>32</v>
      </c>
      <c r="B58" s="217" t="s">
        <v>139</v>
      </c>
      <c r="C58" s="169"/>
      <c r="D58" s="169"/>
      <c r="E58" s="169"/>
      <c r="F58" s="260"/>
      <c r="G58" s="556">
        <v>0</v>
      </c>
      <c r="H58" s="557"/>
      <c r="I58" s="557"/>
      <c r="J58" s="558"/>
    </row>
    <row r="59" spans="1:12" ht="13.15" customHeight="1" thickTop="1" thickBot="1" x14ac:dyDescent="0.3">
      <c r="A59" s="193" t="s">
        <v>25</v>
      </c>
      <c r="B59" s="217" t="s">
        <v>140</v>
      </c>
      <c r="C59" s="169"/>
      <c r="D59" s="169"/>
      <c r="E59" s="169"/>
      <c r="F59" s="260"/>
      <c r="G59" s="556">
        <v>0</v>
      </c>
      <c r="H59" s="557"/>
      <c r="I59" s="557"/>
      <c r="J59" s="558"/>
    </row>
    <row r="60" spans="1:12" ht="15.6" customHeight="1" thickTop="1" thickBot="1" x14ac:dyDescent="0.3">
      <c r="A60" s="255" t="s">
        <v>20</v>
      </c>
      <c r="B60" s="259" t="s">
        <v>21</v>
      </c>
      <c r="C60" s="241"/>
      <c r="D60" s="241"/>
      <c r="E60" s="241"/>
      <c r="F60" s="258"/>
      <c r="H60" s="257"/>
      <c r="I60" s="257"/>
      <c r="J60" s="256">
        <v>11.78</v>
      </c>
    </row>
    <row r="61" spans="1:12" ht="15.6" customHeight="1" thickTop="1" thickBot="1" x14ac:dyDescent="0.3">
      <c r="A61" s="255" t="s">
        <v>37</v>
      </c>
      <c r="B61" s="562" t="s">
        <v>299</v>
      </c>
      <c r="C61" s="563"/>
      <c r="D61" s="563"/>
      <c r="E61" s="563"/>
      <c r="F61" s="564"/>
      <c r="H61" s="257"/>
      <c r="I61" s="257"/>
      <c r="J61" s="256">
        <f>20.12/2</f>
        <v>10.06</v>
      </c>
      <c r="L61" s="53"/>
    </row>
    <row r="62" spans="1:12" ht="15.6" customHeight="1" thickTop="1" thickBot="1" x14ac:dyDescent="0.3">
      <c r="A62" s="255"/>
      <c r="B62" s="562" t="s">
        <v>298</v>
      </c>
      <c r="C62" s="563"/>
      <c r="D62" s="563"/>
      <c r="E62" s="563"/>
      <c r="F62" s="564"/>
      <c r="G62" s="254"/>
      <c r="H62" s="253"/>
      <c r="I62" s="253"/>
      <c r="J62" s="252">
        <v>2</v>
      </c>
      <c r="L62" s="53"/>
    </row>
    <row r="63" spans="1:12" ht="14.45" customHeight="1" thickTop="1" thickBot="1" x14ac:dyDescent="0.3">
      <c r="A63" s="193"/>
      <c r="B63" s="510" t="s">
        <v>141</v>
      </c>
      <c r="C63" s="511"/>
      <c r="D63" s="511"/>
      <c r="E63" s="511"/>
      <c r="F63" s="512"/>
      <c r="G63" s="559">
        <f>SUM(G56:J62)</f>
        <v>576.29059999999993</v>
      </c>
      <c r="H63" s="560"/>
      <c r="I63" s="560"/>
      <c r="J63" s="561"/>
    </row>
    <row r="64" spans="1:12" ht="15.6" customHeight="1" thickTop="1" thickBot="1" x14ac:dyDescent="0.3">
      <c r="A64" s="152"/>
      <c r="B64" s="180"/>
      <c r="C64" s="180"/>
      <c r="D64" s="180"/>
      <c r="E64" s="180"/>
      <c r="F64" s="180"/>
      <c r="G64" s="152"/>
      <c r="H64" s="152"/>
      <c r="I64" s="152"/>
      <c r="J64" s="215"/>
    </row>
    <row r="65" spans="1:15" ht="15.6" customHeight="1" thickTop="1" thickBot="1" x14ac:dyDescent="0.3">
      <c r="A65" s="565" t="s">
        <v>297</v>
      </c>
      <c r="B65" s="566"/>
      <c r="C65" s="566"/>
      <c r="D65" s="566"/>
      <c r="E65" s="566"/>
      <c r="F65" s="566"/>
      <c r="G65" s="566"/>
      <c r="H65" s="566"/>
      <c r="I65" s="566"/>
      <c r="J65" s="567"/>
    </row>
    <row r="66" spans="1:15" ht="15.6" customHeight="1" thickTop="1" thickBot="1" x14ac:dyDescent="0.3">
      <c r="A66" s="522" t="s">
        <v>296</v>
      </c>
      <c r="B66" s="513"/>
      <c r="C66" s="513"/>
      <c r="D66" s="513"/>
      <c r="E66" s="513"/>
      <c r="F66" s="523"/>
      <c r="G66" s="510" t="s">
        <v>277</v>
      </c>
      <c r="H66" s="511"/>
      <c r="I66" s="511"/>
      <c r="J66" s="512"/>
    </row>
    <row r="67" spans="1:15" ht="15.6" customHeight="1" thickTop="1" thickBot="1" x14ac:dyDescent="0.3">
      <c r="A67" s="199" t="s">
        <v>117</v>
      </c>
      <c r="B67" s="191" t="s">
        <v>146</v>
      </c>
      <c r="C67" s="251"/>
      <c r="D67" s="170"/>
      <c r="E67" s="170"/>
      <c r="F67" s="250"/>
      <c r="G67" s="568">
        <f>J40</f>
        <v>430.18008133333331</v>
      </c>
      <c r="H67" s="569"/>
      <c r="I67" s="569"/>
      <c r="J67" s="570"/>
    </row>
    <row r="68" spans="1:15" ht="15.6" customHeight="1" thickTop="1" thickBot="1" x14ac:dyDescent="0.3">
      <c r="A68" s="193" t="s">
        <v>4</v>
      </c>
      <c r="B68" s="540" t="s">
        <v>147</v>
      </c>
      <c r="C68" s="541"/>
      <c r="D68" s="541"/>
      <c r="E68" s="541"/>
      <c r="F68" s="542"/>
      <c r="G68" s="568">
        <f>J52</f>
        <v>972.7785899306665</v>
      </c>
      <c r="H68" s="569"/>
      <c r="I68" s="569"/>
      <c r="J68" s="570"/>
    </row>
    <row r="69" spans="1:15" ht="18" customHeight="1" thickTop="1" thickBot="1" x14ac:dyDescent="0.3">
      <c r="A69" s="193" t="s">
        <v>148</v>
      </c>
      <c r="B69" s="540" t="s">
        <v>149</v>
      </c>
      <c r="C69" s="541"/>
      <c r="D69" s="541"/>
      <c r="E69" s="541"/>
      <c r="F69" s="542"/>
      <c r="G69" s="568">
        <f>G63</f>
        <v>576.29059999999993</v>
      </c>
      <c r="H69" s="569"/>
      <c r="I69" s="569"/>
      <c r="J69" s="570"/>
    </row>
    <row r="70" spans="1:15" ht="15.6" customHeight="1" thickTop="1" thickBot="1" x14ac:dyDescent="0.3">
      <c r="A70" s="514" t="s">
        <v>150</v>
      </c>
      <c r="B70" s="515"/>
      <c r="C70" s="515"/>
      <c r="D70" s="515"/>
      <c r="E70" s="515"/>
      <c r="F70" s="516"/>
      <c r="G70" s="576">
        <f>SUM(G67:J69)</f>
        <v>1979.2492712639996</v>
      </c>
      <c r="H70" s="577"/>
      <c r="I70" s="577"/>
      <c r="J70" s="578"/>
    </row>
    <row r="71" spans="1:15" ht="16.5" thickTop="1" thickBot="1" x14ac:dyDescent="0.3">
      <c r="A71" s="152"/>
      <c r="B71" s="180"/>
      <c r="C71" s="180"/>
      <c r="D71" s="180"/>
      <c r="E71" s="180"/>
      <c r="F71" s="180"/>
      <c r="G71" s="229"/>
      <c r="H71" s="229"/>
      <c r="I71" s="229"/>
      <c r="J71" s="228"/>
      <c r="L71" s="53"/>
    </row>
    <row r="72" spans="1:15" ht="16.5" thickTop="1" thickBot="1" x14ac:dyDescent="0.3">
      <c r="A72" s="219">
        <v>3</v>
      </c>
      <c r="B72" s="218" t="s">
        <v>295</v>
      </c>
      <c r="C72" s="170"/>
      <c r="D72" s="170"/>
      <c r="E72" s="170"/>
      <c r="F72" s="170"/>
      <c r="G72" s="169"/>
      <c r="H72" s="169"/>
      <c r="I72" s="235"/>
      <c r="J72" s="226" t="s">
        <v>264</v>
      </c>
    </row>
    <row r="73" spans="1:15" ht="16.5" thickTop="1" thickBot="1" x14ac:dyDescent="0.3">
      <c r="A73" s="171" t="s">
        <v>23</v>
      </c>
      <c r="B73" s="169" t="s">
        <v>294</v>
      </c>
      <c r="C73" s="170"/>
      <c r="D73" s="170"/>
      <c r="E73" s="170"/>
      <c r="F73" s="170"/>
      <c r="G73" s="579"/>
      <c r="H73" s="580"/>
      <c r="I73" s="244"/>
      <c r="J73" s="225">
        <f>ROUND(G73*J34,2)</f>
        <v>0</v>
      </c>
    </row>
    <row r="74" spans="1:15" ht="16.5" thickTop="1" thickBot="1" x14ac:dyDescent="0.3">
      <c r="A74" s="171" t="s">
        <v>30</v>
      </c>
      <c r="B74" s="169" t="s">
        <v>152</v>
      </c>
      <c r="C74" s="170"/>
      <c r="D74" s="170"/>
      <c r="E74" s="170"/>
      <c r="F74" s="170"/>
      <c r="G74" s="579">
        <f>((J74*100)/J34)/100</f>
        <v>0</v>
      </c>
      <c r="H74" s="580"/>
      <c r="I74" s="244"/>
      <c r="J74" s="225">
        <f>J73*8%</f>
        <v>0</v>
      </c>
      <c r="K74" s="243"/>
    </row>
    <row r="75" spans="1:15" s="245" customFormat="1" ht="16.5" thickTop="1" thickBot="1" x14ac:dyDescent="0.3">
      <c r="A75" s="249" t="s">
        <v>32</v>
      </c>
      <c r="B75" s="241" t="s">
        <v>293</v>
      </c>
      <c r="C75" s="240"/>
      <c r="D75" s="240"/>
      <c r="E75" s="240"/>
      <c r="F75" s="240"/>
      <c r="G75" s="581">
        <v>0.02</v>
      </c>
      <c r="H75" s="582"/>
      <c r="I75" s="248"/>
      <c r="J75" s="238">
        <f>G75*(J34)</f>
        <v>44.264799999999994</v>
      </c>
      <c r="L75" s="246"/>
      <c r="N75" s="247"/>
      <c r="O75" s="246"/>
    </row>
    <row r="76" spans="1:15" ht="16.5" thickTop="1" thickBot="1" x14ac:dyDescent="0.3">
      <c r="A76" s="171" t="s">
        <v>25</v>
      </c>
      <c r="B76" s="169" t="s">
        <v>292</v>
      </c>
      <c r="C76" s="170"/>
      <c r="D76" s="170"/>
      <c r="E76" s="170"/>
      <c r="F76" s="170"/>
      <c r="G76" s="579"/>
      <c r="H76" s="580"/>
      <c r="I76" s="244"/>
      <c r="J76" s="225">
        <f>ROUND(G76*J34,2)</f>
        <v>0</v>
      </c>
    </row>
    <row r="77" spans="1:15" ht="16.5" thickTop="1" thickBot="1" x14ac:dyDescent="0.3">
      <c r="A77" s="171" t="s">
        <v>20</v>
      </c>
      <c r="B77" s="169" t="s">
        <v>291</v>
      </c>
      <c r="C77" s="170"/>
      <c r="D77" s="170"/>
      <c r="E77" s="170"/>
      <c r="F77" s="170"/>
      <c r="G77" s="579">
        <f>G76*H52</f>
        <v>0</v>
      </c>
      <c r="H77" s="580"/>
      <c r="I77" s="244"/>
      <c r="J77" s="225">
        <f>H52*J76</f>
        <v>0</v>
      </c>
      <c r="K77" s="243"/>
      <c r="L77" s="114"/>
      <c r="M77" s="242"/>
      <c r="N77" s="242"/>
    </row>
    <row r="78" spans="1:15" ht="16.5" thickTop="1" thickBot="1" x14ac:dyDescent="0.3">
      <c r="A78" s="171" t="s">
        <v>37</v>
      </c>
      <c r="B78" s="241" t="s">
        <v>290</v>
      </c>
      <c r="C78" s="240"/>
      <c r="D78" s="240"/>
      <c r="E78" s="240"/>
      <c r="F78" s="240"/>
      <c r="G78" s="581">
        <v>0.02</v>
      </c>
      <c r="H78" s="582"/>
      <c r="I78" s="239"/>
      <c r="J78" s="238">
        <f>G78*(J34)</f>
        <v>44.264799999999994</v>
      </c>
      <c r="L78" s="53"/>
    </row>
    <row r="79" spans="1:15" ht="16.5" thickTop="1" thickBot="1" x14ac:dyDescent="0.3">
      <c r="A79" s="510" t="s">
        <v>121</v>
      </c>
      <c r="B79" s="511"/>
      <c r="C79" s="511"/>
      <c r="D79" s="511"/>
      <c r="E79" s="511"/>
      <c r="F79" s="512"/>
      <c r="G79" s="237"/>
      <c r="H79" s="236">
        <f>SUM(G73:H78)</f>
        <v>0.04</v>
      </c>
      <c r="I79" s="235"/>
      <c r="J79" s="220">
        <f>SUM(J73:J78)</f>
        <v>88.529599999999988</v>
      </c>
    </row>
    <row r="80" spans="1:15" ht="16.5" thickTop="1" thickBot="1" x14ac:dyDescent="0.3">
      <c r="A80" s="152"/>
      <c r="B80" s="180"/>
      <c r="C80" s="180"/>
      <c r="D80" s="180"/>
      <c r="E80" s="180"/>
      <c r="F80" s="180"/>
      <c r="G80" s="229"/>
      <c r="H80" s="229"/>
      <c r="I80" s="229"/>
      <c r="J80" s="228"/>
    </row>
    <row r="81" spans="1:10" ht="16.5" thickTop="1" thickBot="1" x14ac:dyDescent="0.3">
      <c r="A81" s="219" t="s">
        <v>27</v>
      </c>
      <c r="B81" s="218" t="s">
        <v>289</v>
      </c>
      <c r="C81" s="170"/>
      <c r="D81" s="170"/>
      <c r="E81" s="170"/>
      <c r="F81" s="170"/>
      <c r="G81" s="169"/>
      <c r="H81" s="169"/>
      <c r="I81" s="227"/>
      <c r="J81" s="226" t="s">
        <v>264</v>
      </c>
    </row>
    <row r="82" spans="1:10" ht="16.5" thickTop="1" thickBot="1" x14ac:dyDescent="0.3">
      <c r="A82" s="171" t="s">
        <v>23</v>
      </c>
      <c r="B82" s="169" t="s">
        <v>288</v>
      </c>
      <c r="C82" s="170"/>
      <c r="D82" s="170"/>
      <c r="E82" s="170"/>
      <c r="F82" s="170"/>
      <c r="G82" s="217"/>
      <c r="H82" s="168"/>
      <c r="I82" s="221"/>
      <c r="J82" s="225"/>
    </row>
    <row r="83" spans="1:10" ht="16.5" thickTop="1" thickBot="1" x14ac:dyDescent="0.3">
      <c r="A83" s="171" t="s">
        <v>30</v>
      </c>
      <c r="B83" s="169" t="s">
        <v>287</v>
      </c>
      <c r="C83" s="170"/>
      <c r="D83" s="170"/>
      <c r="E83" s="170"/>
      <c r="F83" s="170"/>
      <c r="G83" s="217"/>
      <c r="H83" s="168">
        <v>0</v>
      </c>
      <c r="I83" s="221"/>
      <c r="J83" s="225">
        <f>ROUND(H83*J34,2)</f>
        <v>0</v>
      </c>
    </row>
    <row r="84" spans="1:10" ht="16.5" thickTop="1" thickBot="1" x14ac:dyDescent="0.3">
      <c r="A84" s="171" t="s">
        <v>32</v>
      </c>
      <c r="B84" s="169" t="s">
        <v>286</v>
      </c>
      <c r="C84" s="170"/>
      <c r="D84" s="170"/>
      <c r="E84" s="170"/>
      <c r="F84" s="170"/>
      <c r="G84" s="217"/>
      <c r="H84" s="168">
        <v>0</v>
      </c>
      <c r="I84" s="221"/>
      <c r="J84" s="225">
        <f>ROUND(H84*J34,2)</f>
        <v>0</v>
      </c>
    </row>
    <row r="85" spans="1:10" ht="16.5" thickTop="1" thickBot="1" x14ac:dyDescent="0.3">
      <c r="A85" s="171" t="s">
        <v>25</v>
      </c>
      <c r="B85" s="169" t="s">
        <v>285</v>
      </c>
      <c r="C85" s="170"/>
      <c r="D85" s="170"/>
      <c r="E85" s="170"/>
      <c r="F85" s="170"/>
      <c r="G85" s="217"/>
      <c r="H85" s="168">
        <v>0</v>
      </c>
      <c r="I85" s="221"/>
      <c r="J85" s="225">
        <f>ROUND(H85*J34,2)</f>
        <v>0</v>
      </c>
    </row>
    <row r="86" spans="1:10" ht="16.5" thickTop="1" thickBot="1" x14ac:dyDescent="0.3">
      <c r="A86" s="171" t="s">
        <v>20</v>
      </c>
      <c r="B86" s="169" t="s">
        <v>284</v>
      </c>
      <c r="C86" s="170"/>
      <c r="D86" s="170"/>
      <c r="E86" s="170"/>
      <c r="F86" s="170"/>
      <c r="G86" s="217"/>
      <c r="H86" s="168">
        <v>0</v>
      </c>
      <c r="I86" s="221"/>
      <c r="J86" s="225">
        <f>ROUND(H86*J34,2)</f>
        <v>0</v>
      </c>
    </row>
    <row r="87" spans="1:10" ht="16.5" thickTop="1" thickBot="1" x14ac:dyDescent="0.3">
      <c r="A87" s="171" t="s">
        <v>37</v>
      </c>
      <c r="B87" s="169" t="s">
        <v>283</v>
      </c>
      <c r="C87" s="170"/>
      <c r="D87" s="170"/>
      <c r="E87" s="170"/>
      <c r="F87" s="170"/>
      <c r="G87" s="217"/>
      <c r="H87" s="168">
        <v>0</v>
      </c>
      <c r="I87" s="221"/>
      <c r="J87" s="225">
        <f>H87*J34</f>
        <v>0</v>
      </c>
    </row>
    <row r="88" spans="1:10" ht="16.5" thickTop="1" thickBot="1" x14ac:dyDescent="0.3">
      <c r="A88" s="171" t="s">
        <v>37</v>
      </c>
      <c r="B88" s="169" t="s">
        <v>282</v>
      </c>
      <c r="C88" s="170"/>
      <c r="D88" s="170"/>
      <c r="E88" s="170"/>
      <c r="F88" s="170"/>
      <c r="G88" s="217"/>
      <c r="H88" s="168">
        <f>(H82+H83+H84+H85+H86+H87)*H52</f>
        <v>0</v>
      </c>
      <c r="I88" s="221"/>
      <c r="J88" s="225">
        <f>H88*J34</f>
        <v>0</v>
      </c>
    </row>
    <row r="89" spans="1:10" ht="16.5" thickTop="1" thickBot="1" x14ac:dyDescent="0.3">
      <c r="A89" s="234" t="s">
        <v>115</v>
      </c>
      <c r="B89" s="233"/>
      <c r="C89" s="233"/>
      <c r="D89" s="233"/>
      <c r="E89" s="233"/>
      <c r="F89" s="233"/>
      <c r="G89" s="233"/>
      <c r="H89" s="232">
        <f>SUM(H82:H88)</f>
        <v>0</v>
      </c>
      <c r="I89" s="231"/>
      <c r="J89" s="230">
        <f>SUM(J82:J88)</f>
        <v>0</v>
      </c>
    </row>
    <row r="90" spans="1:10" ht="16.5" thickTop="1" thickBot="1" x14ac:dyDescent="0.3">
      <c r="A90" s="152"/>
      <c r="B90" s="180"/>
      <c r="C90" s="180"/>
      <c r="D90" s="180"/>
      <c r="E90" s="180"/>
      <c r="F90" s="180"/>
      <c r="G90" s="229"/>
      <c r="H90" s="229"/>
      <c r="I90" s="229"/>
      <c r="J90" s="228"/>
    </row>
    <row r="91" spans="1:10" ht="16.5" thickTop="1" thickBot="1" x14ac:dyDescent="0.3">
      <c r="A91" s="219" t="s">
        <v>162</v>
      </c>
      <c r="B91" s="218" t="s">
        <v>163</v>
      </c>
      <c r="C91" s="170"/>
      <c r="D91" s="170"/>
      <c r="E91" s="170"/>
      <c r="F91" s="170"/>
      <c r="G91" s="169"/>
      <c r="H91" s="169"/>
      <c r="I91" s="227"/>
      <c r="J91" s="226" t="s">
        <v>264</v>
      </c>
    </row>
    <row r="92" spans="1:10" ht="16.5" thickTop="1" thickBot="1" x14ac:dyDescent="0.3">
      <c r="A92" s="171" t="s">
        <v>23</v>
      </c>
      <c r="B92" s="540" t="s">
        <v>281</v>
      </c>
      <c r="C92" s="541"/>
      <c r="D92" s="541"/>
      <c r="E92" s="541"/>
      <c r="F92" s="542"/>
      <c r="G92" s="583">
        <v>0</v>
      </c>
      <c r="H92" s="584"/>
      <c r="I92" s="221"/>
      <c r="J92" s="225">
        <f>14.24*15</f>
        <v>213.6</v>
      </c>
    </row>
    <row r="93" spans="1:10" ht="16.5" thickTop="1" thickBot="1" x14ac:dyDescent="0.3">
      <c r="A93" s="585" t="s">
        <v>280</v>
      </c>
      <c r="B93" s="586"/>
      <c r="C93" s="586"/>
      <c r="D93" s="586"/>
      <c r="E93" s="586"/>
      <c r="F93" s="587"/>
      <c r="G93" s="193"/>
      <c r="H93" s="224"/>
      <c r="I93" s="221"/>
      <c r="J93" s="220">
        <f>SUM(J92:J92)</f>
        <v>213.6</v>
      </c>
    </row>
    <row r="94" spans="1:10" ht="16.5" thickTop="1" thickBot="1" x14ac:dyDescent="0.3">
      <c r="A94" s="585"/>
      <c r="B94" s="586"/>
      <c r="C94" s="586"/>
      <c r="D94" s="586"/>
      <c r="E94" s="586"/>
      <c r="F94" s="586"/>
      <c r="G94" s="586"/>
      <c r="H94" s="586"/>
      <c r="I94" s="586"/>
      <c r="J94" s="587"/>
    </row>
    <row r="95" spans="1:10" ht="16.5" thickTop="1" thickBot="1" x14ac:dyDescent="0.3">
      <c r="A95" s="565" t="s">
        <v>279</v>
      </c>
      <c r="B95" s="566"/>
      <c r="C95" s="566"/>
      <c r="D95" s="566"/>
      <c r="E95" s="566"/>
      <c r="F95" s="566"/>
      <c r="G95" s="566"/>
      <c r="H95" s="566"/>
      <c r="I95" s="566"/>
      <c r="J95" s="567"/>
    </row>
    <row r="96" spans="1:10" ht="16.5" thickTop="1" thickBot="1" x14ac:dyDescent="0.3">
      <c r="A96" s="565" t="s">
        <v>165</v>
      </c>
      <c r="B96" s="566"/>
      <c r="C96" s="566"/>
      <c r="D96" s="566"/>
      <c r="E96" s="566"/>
      <c r="F96" s="567"/>
      <c r="G96" s="588"/>
      <c r="H96" s="589"/>
      <c r="I96" s="589"/>
      <c r="J96" s="590"/>
    </row>
    <row r="97" spans="1:10" ht="16.5" thickTop="1" thickBot="1" x14ac:dyDescent="0.3">
      <c r="A97" s="199" t="s">
        <v>27</v>
      </c>
      <c r="B97" s="540" t="s">
        <v>166</v>
      </c>
      <c r="C97" s="541"/>
      <c r="D97" s="541"/>
      <c r="E97" s="541"/>
      <c r="F97" s="542"/>
      <c r="G97" s="573">
        <f>J89</f>
        <v>0</v>
      </c>
      <c r="H97" s="574"/>
      <c r="I97" s="574"/>
      <c r="J97" s="575"/>
    </row>
    <row r="98" spans="1:10" ht="16.5" thickTop="1" thickBot="1" x14ac:dyDescent="0.3">
      <c r="A98" s="193" t="s">
        <v>162</v>
      </c>
      <c r="B98" s="540" t="s">
        <v>167</v>
      </c>
      <c r="C98" s="541"/>
      <c r="D98" s="541"/>
      <c r="E98" s="541"/>
      <c r="F98" s="542"/>
      <c r="G98" s="573">
        <f>J93</f>
        <v>213.6</v>
      </c>
      <c r="H98" s="574"/>
      <c r="I98" s="574"/>
      <c r="J98" s="575"/>
    </row>
    <row r="99" spans="1:10" ht="16.5" thickTop="1" thickBot="1" x14ac:dyDescent="0.3">
      <c r="A99" s="514" t="s">
        <v>150</v>
      </c>
      <c r="B99" s="515"/>
      <c r="C99" s="515"/>
      <c r="D99" s="515"/>
      <c r="E99" s="515"/>
      <c r="F99" s="516"/>
      <c r="G99" s="576">
        <f>G97+G98</f>
        <v>213.6</v>
      </c>
      <c r="H99" s="577"/>
      <c r="I99" s="577"/>
      <c r="J99" s="578"/>
    </row>
    <row r="100" spans="1:10" ht="16.5" thickTop="1" thickBot="1" x14ac:dyDescent="0.3">
      <c r="A100" s="193"/>
      <c r="B100" s="223"/>
      <c r="C100" s="223"/>
      <c r="D100" s="223"/>
      <c r="E100" s="223"/>
      <c r="F100" s="223"/>
      <c r="G100" s="223"/>
      <c r="H100" s="222"/>
      <c r="I100" s="221"/>
      <c r="J100" s="220"/>
    </row>
    <row r="101" spans="1:10" ht="16.5" thickTop="1" thickBot="1" x14ac:dyDescent="0.3">
      <c r="A101" s="193"/>
      <c r="B101" s="223"/>
      <c r="C101" s="223"/>
      <c r="D101" s="223"/>
      <c r="E101" s="223"/>
      <c r="F101" s="223"/>
      <c r="G101" s="223"/>
      <c r="H101" s="222"/>
      <c r="I101" s="221"/>
      <c r="J101" s="220"/>
    </row>
    <row r="102" spans="1:10" ht="16.5" thickTop="1" thickBot="1" x14ac:dyDescent="0.3">
      <c r="A102" s="219">
        <v>5</v>
      </c>
      <c r="B102" s="218" t="s">
        <v>169</v>
      </c>
      <c r="C102" s="170"/>
      <c r="D102" s="170"/>
      <c r="E102" s="170"/>
      <c r="F102" s="170"/>
      <c r="G102" s="591" t="s">
        <v>264</v>
      </c>
      <c r="H102" s="591"/>
      <c r="I102" s="591"/>
      <c r="J102" s="546"/>
    </row>
    <row r="103" spans="1:10" ht="16.5" thickTop="1" thickBot="1" x14ac:dyDescent="0.3">
      <c r="A103" s="193" t="s">
        <v>23</v>
      </c>
      <c r="B103" s="217" t="s">
        <v>170</v>
      </c>
      <c r="C103" s="169"/>
      <c r="D103" s="169"/>
      <c r="E103" s="169"/>
      <c r="F103" s="216"/>
      <c r="G103" s="556"/>
      <c r="H103" s="557"/>
      <c r="I103" s="557"/>
      <c r="J103" s="558"/>
    </row>
    <row r="104" spans="1:10" ht="16.5" thickTop="1" thickBot="1" x14ac:dyDescent="0.3">
      <c r="A104" s="193" t="s">
        <v>30</v>
      </c>
      <c r="B104" s="217" t="s">
        <v>171</v>
      </c>
      <c r="C104" s="169"/>
      <c r="D104" s="169"/>
      <c r="E104" s="169"/>
      <c r="F104" s="216"/>
      <c r="G104" s="556"/>
      <c r="H104" s="557"/>
      <c r="I104" s="557"/>
      <c r="J104" s="558"/>
    </row>
    <row r="105" spans="1:10" ht="16.5" thickTop="1" thickBot="1" x14ac:dyDescent="0.3">
      <c r="A105" s="193" t="s">
        <v>30</v>
      </c>
      <c r="B105" s="540" t="s">
        <v>171</v>
      </c>
      <c r="C105" s="541"/>
      <c r="D105" s="541"/>
      <c r="E105" s="541"/>
      <c r="F105" s="542"/>
      <c r="G105" s="556"/>
      <c r="H105" s="557"/>
      <c r="I105" s="557"/>
      <c r="J105" s="558"/>
    </row>
    <row r="106" spans="1:10" ht="16.5" thickTop="1" thickBot="1" x14ac:dyDescent="0.3">
      <c r="A106" s="193" t="s">
        <v>32</v>
      </c>
      <c r="B106" s="191" t="s">
        <v>172</v>
      </c>
      <c r="C106" s="170"/>
      <c r="D106" s="170"/>
      <c r="E106" s="170"/>
      <c r="F106" s="170"/>
      <c r="G106" s="556"/>
      <c r="H106" s="557"/>
      <c r="I106" s="557"/>
      <c r="J106" s="558"/>
    </row>
    <row r="107" spans="1:10" ht="16.5" thickTop="1" thickBot="1" x14ac:dyDescent="0.3">
      <c r="A107" s="193"/>
      <c r="B107" s="510" t="s">
        <v>57</v>
      </c>
      <c r="C107" s="511"/>
      <c r="D107" s="511"/>
      <c r="E107" s="511"/>
      <c r="F107" s="512"/>
      <c r="G107" s="559">
        <f>SUM(G103:J106)</f>
        <v>0</v>
      </c>
      <c r="H107" s="560"/>
      <c r="I107" s="560"/>
      <c r="J107" s="561"/>
    </row>
    <row r="108" spans="1:10" ht="16.5" thickTop="1" thickBot="1" x14ac:dyDescent="0.3">
      <c r="A108" s="152"/>
      <c r="B108" s="180"/>
      <c r="C108" s="180"/>
      <c r="D108" s="180"/>
      <c r="E108" s="180"/>
      <c r="F108" s="180"/>
      <c r="G108" s="152"/>
      <c r="H108" s="152"/>
      <c r="I108" s="152"/>
      <c r="J108" s="215"/>
    </row>
    <row r="109" spans="1:10" ht="16.5" thickTop="1" thickBot="1" x14ac:dyDescent="0.3">
      <c r="A109" s="212" t="s">
        <v>175</v>
      </c>
      <c r="B109" s="169"/>
      <c r="C109" s="169"/>
      <c r="D109" s="169"/>
      <c r="E109" s="169"/>
      <c r="F109" s="169"/>
      <c r="G109" s="173"/>
      <c r="H109" s="173"/>
      <c r="I109" s="173"/>
      <c r="J109" s="211"/>
    </row>
    <row r="110" spans="1:10" ht="16.5" thickTop="1" thickBot="1" x14ac:dyDescent="0.3">
      <c r="A110" s="212" t="s">
        <v>278</v>
      </c>
      <c r="B110" s="214"/>
      <c r="C110" s="173"/>
      <c r="D110" s="173"/>
      <c r="E110" s="173"/>
      <c r="F110" s="213"/>
      <c r="G110" s="212"/>
      <c r="H110" s="173" t="s">
        <v>277</v>
      </c>
      <c r="I110" s="173"/>
      <c r="J110" s="211"/>
    </row>
    <row r="111" spans="1:10" ht="16.5" thickTop="1" thickBot="1" x14ac:dyDescent="0.3">
      <c r="A111" s="193" t="s">
        <v>23</v>
      </c>
      <c r="B111" s="191" t="s">
        <v>276</v>
      </c>
      <c r="C111" s="170"/>
      <c r="D111" s="170"/>
      <c r="E111" s="210"/>
      <c r="F111" s="209">
        <v>9.5600000000000004E-4</v>
      </c>
      <c r="G111" s="191"/>
      <c r="H111" s="208"/>
      <c r="I111" s="557">
        <f>F111*I131</f>
        <v>4.296855640928384</v>
      </c>
      <c r="J111" s="558"/>
    </row>
    <row r="112" spans="1:10" ht="16.5" thickTop="1" thickBot="1" x14ac:dyDescent="0.3">
      <c r="A112" s="199" t="s">
        <v>42</v>
      </c>
      <c r="B112" s="196" t="s">
        <v>275</v>
      </c>
      <c r="C112" s="176"/>
      <c r="D112" s="176"/>
      <c r="E112" s="176"/>
      <c r="F112" s="207"/>
      <c r="G112" s="170"/>
      <c r="H112" s="206"/>
      <c r="I112" s="557"/>
      <c r="J112" s="558"/>
    </row>
    <row r="113" spans="1:10" ht="15.75" thickTop="1" x14ac:dyDescent="0.25">
      <c r="A113" s="189"/>
      <c r="B113" s="186" t="s">
        <v>274</v>
      </c>
      <c r="C113" s="188"/>
      <c r="D113" s="188"/>
      <c r="E113" s="188"/>
      <c r="F113" s="187"/>
      <c r="G113" s="186"/>
      <c r="H113" s="200"/>
      <c r="I113" s="205"/>
      <c r="J113" s="204"/>
    </row>
    <row r="114" spans="1:10" x14ac:dyDescent="0.25">
      <c r="A114" s="203"/>
      <c r="B114" s="201" t="s">
        <v>273</v>
      </c>
      <c r="C114" s="184"/>
      <c r="D114" s="184"/>
      <c r="E114" s="184"/>
      <c r="F114" s="202">
        <v>0.03</v>
      </c>
      <c r="G114" s="201"/>
      <c r="H114" s="200"/>
      <c r="I114" s="571">
        <f>F114*J134</f>
        <v>147.88888966633331</v>
      </c>
      <c r="J114" s="572"/>
    </row>
    <row r="115" spans="1:10" x14ac:dyDescent="0.25">
      <c r="A115" s="203"/>
      <c r="B115" s="201" t="s">
        <v>272</v>
      </c>
      <c r="C115" s="184"/>
      <c r="D115" s="184"/>
      <c r="E115" s="184"/>
      <c r="F115" s="202">
        <v>6.4999999999999997E-3</v>
      </c>
      <c r="G115" s="201"/>
      <c r="H115" s="200"/>
      <c r="I115" s="571">
        <f>F115*J134</f>
        <v>32.042592761038883</v>
      </c>
      <c r="J115" s="572"/>
    </row>
    <row r="116" spans="1:10" ht="15.75" thickBot="1" x14ac:dyDescent="0.3">
      <c r="A116" s="199"/>
      <c r="B116" s="198" t="s">
        <v>271</v>
      </c>
      <c r="C116" s="176"/>
      <c r="D116" s="176"/>
      <c r="E116" s="176"/>
      <c r="F116" s="197"/>
      <c r="G116" s="196"/>
      <c r="H116" s="190"/>
      <c r="I116" s="195"/>
      <c r="J116" s="194"/>
    </row>
    <row r="117" spans="1:10" ht="16.5" thickTop="1" thickBot="1" x14ac:dyDescent="0.3">
      <c r="A117" s="193"/>
      <c r="B117" s="191" t="s">
        <v>270</v>
      </c>
      <c r="C117" s="170"/>
      <c r="D117" s="170"/>
      <c r="E117" s="170"/>
      <c r="F117" s="192"/>
      <c r="G117" s="191"/>
      <c r="H117" s="557"/>
      <c r="I117" s="557"/>
      <c r="J117" s="558"/>
    </row>
    <row r="118" spans="1:10" ht="16.5" thickTop="1" thickBot="1" x14ac:dyDescent="0.3">
      <c r="A118" s="193"/>
      <c r="B118" s="191" t="s">
        <v>269</v>
      </c>
      <c r="C118" s="170"/>
      <c r="D118" s="170"/>
      <c r="E118" s="170"/>
      <c r="F118" s="192"/>
      <c r="G118" s="191"/>
      <c r="H118" s="557"/>
      <c r="I118" s="557"/>
      <c r="J118" s="558"/>
    </row>
    <row r="119" spans="1:10" ht="16.5" thickTop="1" thickBot="1" x14ac:dyDescent="0.3">
      <c r="A119" s="193"/>
      <c r="B119" s="191" t="s">
        <v>268</v>
      </c>
      <c r="C119" s="170"/>
      <c r="D119" s="170"/>
      <c r="E119" s="170"/>
      <c r="F119" s="192">
        <v>0.05</v>
      </c>
      <c r="G119" s="191"/>
      <c r="H119" s="190"/>
      <c r="I119" s="557">
        <f>F119*J134</f>
        <v>246.48148277722223</v>
      </c>
      <c r="J119" s="558"/>
    </row>
    <row r="120" spans="1:10" ht="15.75" thickTop="1" x14ac:dyDescent="0.25">
      <c r="A120" s="189" t="s">
        <v>32</v>
      </c>
      <c r="B120" s="186" t="s">
        <v>267</v>
      </c>
      <c r="C120" s="188"/>
      <c r="D120" s="188"/>
      <c r="E120" s="188"/>
      <c r="F120" s="187">
        <f>F111</f>
        <v>9.5600000000000004E-4</v>
      </c>
      <c r="G120" s="186"/>
      <c r="H120" s="592">
        <f>F120*(I126+I127+I128+I129+I130+I111)</f>
        <v>4.3009634349211119</v>
      </c>
      <c r="I120" s="592"/>
      <c r="J120" s="593"/>
    </row>
    <row r="121" spans="1:10" x14ac:dyDescent="0.25">
      <c r="A121" s="146"/>
      <c r="B121" s="146"/>
      <c r="C121" s="147" t="s">
        <v>266</v>
      </c>
      <c r="D121" s="147"/>
      <c r="E121" s="147"/>
      <c r="F121" s="70">
        <f>SUM(F111:F120)</f>
        <v>8.8412000000000004E-2</v>
      </c>
      <c r="G121" s="147"/>
      <c r="H121" s="594">
        <f>ROUND(I111+I114+I115+I119+H120,2)</f>
        <v>435.01</v>
      </c>
      <c r="I121" s="594"/>
      <c r="J121" s="594"/>
    </row>
    <row r="122" spans="1:10" s="181" customFormat="1" x14ac:dyDescent="0.25">
      <c r="A122" s="146"/>
      <c r="B122" s="146"/>
      <c r="C122" s="147"/>
      <c r="D122" s="147"/>
      <c r="E122" s="147"/>
      <c r="F122" s="70"/>
      <c r="G122" s="147"/>
      <c r="H122" s="185"/>
      <c r="I122" s="185"/>
      <c r="J122" s="185"/>
    </row>
    <row r="123" spans="1:10" s="181" customFormat="1" x14ac:dyDescent="0.25">
      <c r="A123" s="184"/>
      <c r="B123" s="184"/>
      <c r="C123" s="151"/>
      <c r="D123" s="151"/>
      <c r="E123" s="151"/>
      <c r="F123" s="183"/>
      <c r="G123" s="151"/>
      <c r="H123" s="182"/>
      <c r="I123" s="182"/>
      <c r="J123" s="182"/>
    </row>
    <row r="124" spans="1:10" s="181" customFormat="1" ht="10.9" customHeight="1" x14ac:dyDescent="0.25">
      <c r="A124" s="184"/>
      <c r="B124" s="184"/>
      <c r="C124" s="151"/>
      <c r="D124" s="151"/>
      <c r="E124" s="151"/>
      <c r="F124" s="183"/>
      <c r="G124" s="151"/>
      <c r="H124" s="182"/>
      <c r="I124" s="182"/>
      <c r="J124" s="182"/>
    </row>
    <row r="125" spans="1:10" ht="22.9" customHeight="1" x14ac:dyDescent="0.25">
      <c r="A125" s="151" t="s">
        <v>265</v>
      </c>
      <c r="B125" s="180"/>
      <c r="C125" s="180"/>
      <c r="D125" s="180"/>
      <c r="E125" s="180"/>
      <c r="F125" s="180"/>
      <c r="G125" s="180"/>
      <c r="H125" s="180"/>
      <c r="I125" s="179"/>
      <c r="J125" s="178" t="s">
        <v>264</v>
      </c>
    </row>
    <row r="126" spans="1:10" ht="15.75" thickBot="1" x14ac:dyDescent="0.3">
      <c r="A126" s="177" t="s">
        <v>23</v>
      </c>
      <c r="B126" s="175" t="s">
        <v>263</v>
      </c>
      <c r="C126" s="176"/>
      <c r="D126" s="176"/>
      <c r="E126" s="176"/>
      <c r="F126" s="176"/>
      <c r="G126" s="175"/>
      <c r="H126" s="174"/>
      <c r="I126" s="595">
        <f>J34</f>
        <v>2213.2399999999998</v>
      </c>
      <c r="J126" s="596"/>
    </row>
    <row r="127" spans="1:10" ht="16.5" thickTop="1" thickBot="1" x14ac:dyDescent="0.3">
      <c r="A127" s="171" t="s">
        <v>30</v>
      </c>
      <c r="B127" s="169" t="s">
        <v>262</v>
      </c>
      <c r="C127" s="170"/>
      <c r="D127" s="170"/>
      <c r="E127" s="170"/>
      <c r="F127" s="170"/>
      <c r="G127" s="169"/>
      <c r="H127" s="168"/>
      <c r="I127" s="556">
        <f>G70</f>
        <v>1979.2492712639996</v>
      </c>
      <c r="J127" s="558"/>
    </row>
    <row r="128" spans="1:10" ht="16.5" thickTop="1" thickBot="1" x14ac:dyDescent="0.3">
      <c r="A128" s="171" t="s">
        <v>32</v>
      </c>
      <c r="B128" s="169" t="s">
        <v>261</v>
      </c>
      <c r="C128" s="170"/>
      <c r="D128" s="170"/>
      <c r="E128" s="170"/>
      <c r="F128" s="170"/>
      <c r="G128" s="169"/>
      <c r="H128" s="168"/>
      <c r="I128" s="556">
        <f>J79</f>
        <v>88.529599999999988</v>
      </c>
      <c r="J128" s="558"/>
    </row>
    <row r="129" spans="1:10" ht="16.5" thickTop="1" thickBot="1" x14ac:dyDescent="0.3">
      <c r="A129" s="171" t="s">
        <v>25</v>
      </c>
      <c r="B129" s="169" t="s">
        <v>260</v>
      </c>
      <c r="C129" s="170"/>
      <c r="D129" s="170"/>
      <c r="E129" s="170"/>
      <c r="F129" s="170"/>
      <c r="G129" s="169"/>
      <c r="H129" s="168"/>
      <c r="I129" s="556">
        <f>G99</f>
        <v>213.6</v>
      </c>
      <c r="J129" s="558"/>
    </row>
    <row r="130" spans="1:10" ht="16.5" thickTop="1" thickBot="1" x14ac:dyDescent="0.3">
      <c r="A130" s="171" t="s">
        <v>20</v>
      </c>
      <c r="B130" s="169" t="s">
        <v>259</v>
      </c>
      <c r="C130" s="170"/>
      <c r="D130" s="170"/>
      <c r="E130" s="170"/>
      <c r="F130" s="170"/>
      <c r="G130" s="169"/>
      <c r="H130" s="168"/>
      <c r="I130" s="556">
        <f>G107</f>
        <v>0</v>
      </c>
      <c r="J130" s="558"/>
    </row>
    <row r="131" spans="1:10" ht="16.5" thickTop="1" thickBot="1" x14ac:dyDescent="0.3">
      <c r="A131" s="510" t="s">
        <v>189</v>
      </c>
      <c r="B131" s="511"/>
      <c r="C131" s="511"/>
      <c r="D131" s="511"/>
      <c r="E131" s="511"/>
      <c r="F131" s="511"/>
      <c r="G131" s="173"/>
      <c r="H131" s="172"/>
      <c r="I131" s="559">
        <f>(I126+I127+I128+I129+I130)</f>
        <v>4494.6188712639996</v>
      </c>
      <c r="J131" s="561"/>
    </row>
    <row r="132" spans="1:10" ht="16.5" thickTop="1" thickBot="1" x14ac:dyDescent="0.3">
      <c r="A132" s="171" t="s">
        <v>37</v>
      </c>
      <c r="B132" s="169" t="s">
        <v>190</v>
      </c>
      <c r="C132" s="170"/>
      <c r="D132" s="170"/>
      <c r="E132" s="170"/>
      <c r="F132" s="170"/>
      <c r="G132" s="169"/>
      <c r="H132" s="168"/>
      <c r="I132" s="556">
        <f>H121</f>
        <v>435.01</v>
      </c>
      <c r="J132" s="558"/>
    </row>
    <row r="133" spans="1:10" ht="16.5" thickTop="1" thickBot="1" x14ac:dyDescent="0.3">
      <c r="A133" s="167"/>
      <c r="B133" s="167"/>
      <c r="C133" s="167"/>
      <c r="D133" s="167"/>
      <c r="E133" s="167"/>
      <c r="F133" s="167"/>
      <c r="G133" s="167"/>
      <c r="H133" s="167"/>
      <c r="I133" s="167"/>
      <c r="J133" s="167"/>
    </row>
    <row r="134" spans="1:10" ht="16.5" thickTop="1" thickBot="1" x14ac:dyDescent="0.3">
      <c r="A134" s="514" t="s">
        <v>191</v>
      </c>
      <c r="B134" s="515"/>
      <c r="C134" s="515"/>
      <c r="D134" s="515"/>
      <c r="E134" s="515"/>
      <c r="F134" s="515"/>
      <c r="G134" s="515"/>
      <c r="H134" s="516"/>
      <c r="J134" s="166">
        <f>(I131+I111+H120)/0.9135</f>
        <v>4929.6296555444442</v>
      </c>
    </row>
    <row r="135" spans="1:10" ht="16.5" thickTop="1" thickBot="1" x14ac:dyDescent="0.3">
      <c r="A135" s="514" t="s">
        <v>258</v>
      </c>
      <c r="B135" s="515"/>
      <c r="C135" s="515"/>
      <c r="D135" s="515"/>
      <c r="E135" s="515"/>
      <c r="F135" s="515"/>
      <c r="G135" s="515"/>
      <c r="H135" s="516"/>
      <c r="J135" s="166">
        <f>J134*2</f>
        <v>9859.2593110888884</v>
      </c>
    </row>
    <row r="136" spans="1:10" ht="15.75" thickTop="1" x14ac:dyDescent="0.25"/>
    <row r="137" spans="1:10" x14ac:dyDescent="0.25">
      <c r="J137" s="53"/>
    </row>
  </sheetData>
  <mergeCells count="113">
    <mergeCell ref="A135:H135"/>
    <mergeCell ref="I128:J128"/>
    <mergeCell ref="I129:J129"/>
    <mergeCell ref="I130:J130"/>
    <mergeCell ref="I131:J131"/>
    <mergeCell ref="I119:J119"/>
    <mergeCell ref="H120:J120"/>
    <mergeCell ref="H121:J121"/>
    <mergeCell ref="I126:J126"/>
    <mergeCell ref="I127:J127"/>
    <mergeCell ref="A95:J95"/>
    <mergeCell ref="A96:F96"/>
    <mergeCell ref="G96:J96"/>
    <mergeCell ref="G98:J98"/>
    <mergeCell ref="A99:F99"/>
    <mergeCell ref="G99:J99"/>
    <mergeCell ref="G102:J102"/>
    <mergeCell ref="G103:J103"/>
    <mergeCell ref="A134:H134"/>
    <mergeCell ref="A131:F131"/>
    <mergeCell ref="I132:J132"/>
    <mergeCell ref="H118:J118"/>
    <mergeCell ref="G104:J104"/>
    <mergeCell ref="B105:F105"/>
    <mergeCell ref="G105:J105"/>
    <mergeCell ref="G106:J106"/>
    <mergeCell ref="B107:F107"/>
    <mergeCell ref="I111:J111"/>
    <mergeCell ref="I112:J112"/>
    <mergeCell ref="I114:J114"/>
    <mergeCell ref="I115:J115"/>
    <mergeCell ref="H117:J117"/>
    <mergeCell ref="B97:F97"/>
    <mergeCell ref="G97:J97"/>
    <mergeCell ref="B98:F98"/>
    <mergeCell ref="B69:F69"/>
    <mergeCell ref="G69:J69"/>
    <mergeCell ref="A70:F70"/>
    <mergeCell ref="G70:J70"/>
    <mergeCell ref="G73:H73"/>
    <mergeCell ref="G74:H74"/>
    <mergeCell ref="G75:H75"/>
    <mergeCell ref="G76:H76"/>
    <mergeCell ref="G77:H77"/>
    <mergeCell ref="G107:J107"/>
    <mergeCell ref="G78:H78"/>
    <mergeCell ref="A79:F79"/>
    <mergeCell ref="B92:F92"/>
    <mergeCell ref="G92:H92"/>
    <mergeCell ref="A93:F93"/>
    <mergeCell ref="A94:J94"/>
    <mergeCell ref="B63:F63"/>
    <mergeCell ref="G63:J63"/>
    <mergeCell ref="B61:F61"/>
    <mergeCell ref="B62:F62"/>
    <mergeCell ref="A65:J65"/>
    <mergeCell ref="A66:F66"/>
    <mergeCell ref="G66:J66"/>
    <mergeCell ref="G67:J67"/>
    <mergeCell ref="B68:F68"/>
    <mergeCell ref="G68:J68"/>
    <mergeCell ref="B51:F51"/>
    <mergeCell ref="A52:F52"/>
    <mergeCell ref="A54:J54"/>
    <mergeCell ref="A55:F55"/>
    <mergeCell ref="G55:J55"/>
    <mergeCell ref="G56:J56"/>
    <mergeCell ref="G57:J57"/>
    <mergeCell ref="G58:J58"/>
    <mergeCell ref="G59:J59"/>
    <mergeCell ref="B39:F39"/>
    <mergeCell ref="G39:H39"/>
    <mergeCell ref="A40:H40"/>
    <mergeCell ref="B43:F43"/>
    <mergeCell ref="G43:H43"/>
    <mergeCell ref="G32:I32"/>
    <mergeCell ref="G33:I33"/>
    <mergeCell ref="B34:F34"/>
    <mergeCell ref="G34:I34"/>
    <mergeCell ref="B37:F37"/>
    <mergeCell ref="G22:I22"/>
    <mergeCell ref="G23:I23"/>
    <mergeCell ref="G24:I24"/>
    <mergeCell ref="G25:I25"/>
    <mergeCell ref="G38:H38"/>
    <mergeCell ref="G26:I26"/>
    <mergeCell ref="G27:I27"/>
    <mergeCell ref="G28:I28"/>
    <mergeCell ref="G29:I29"/>
    <mergeCell ref="G30:I30"/>
    <mergeCell ref="G31:I31"/>
    <mergeCell ref="G14:J14"/>
    <mergeCell ref="G15:J15"/>
    <mergeCell ref="A17:J17"/>
    <mergeCell ref="A18:E19"/>
    <mergeCell ref="F18:F19"/>
    <mergeCell ref="G18:J18"/>
    <mergeCell ref="G19:I19"/>
    <mergeCell ref="G20:I20"/>
    <mergeCell ref="G21:I21"/>
    <mergeCell ref="G12:J12"/>
    <mergeCell ref="G13:J13"/>
    <mergeCell ref="A3:E3"/>
    <mergeCell ref="A4:J4"/>
    <mergeCell ref="A5:J5"/>
    <mergeCell ref="G6:J6"/>
    <mergeCell ref="G7:J7"/>
    <mergeCell ref="A1:J1"/>
    <mergeCell ref="A2:J2"/>
    <mergeCell ref="G8:J8"/>
    <mergeCell ref="G9:J9"/>
    <mergeCell ref="A10:J10"/>
    <mergeCell ref="A11:J11"/>
  </mergeCells>
  <pageMargins left="0.511811024" right="0.511811024" top="0.7466666666666667" bottom="0.48" header="0.31496062000000002" footer="0.31496062000000002"/>
  <pageSetup paperSize="9" scale="74" fitToHeight="0" orientation="portrait" r:id="rId1"/>
  <rowBreaks count="2" manualBreakCount="2">
    <brk id="54" max="9" man="1"/>
    <brk id="90" max="9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82"/>
  <sheetViews>
    <sheetView view="pageBreakPreview" topLeftCell="A151" zoomScaleNormal="100" zoomScaleSheetLayoutView="100" workbookViewId="0">
      <selection activeCell="A13" sqref="A13:G13"/>
    </sheetView>
  </sheetViews>
  <sheetFormatPr defaultRowHeight="15" x14ac:dyDescent="0.25"/>
  <cols>
    <col min="1" max="1" width="7.5703125" customWidth="1"/>
    <col min="2" max="2" width="10.28515625" customWidth="1"/>
    <col min="3" max="3" width="22.85546875" customWidth="1"/>
    <col min="4" max="4" width="11.7109375" customWidth="1"/>
    <col min="5" max="5" width="11.140625" customWidth="1"/>
    <col min="6" max="6" width="13.42578125" customWidth="1"/>
    <col min="7" max="7" width="10.7109375" customWidth="1"/>
    <col min="8" max="8" width="8" customWidth="1"/>
    <col min="9" max="9" width="17.140625" customWidth="1"/>
    <col min="10" max="10" width="21.5703125" customWidth="1"/>
    <col min="11" max="11" width="12.7109375" customWidth="1"/>
    <col min="12" max="14" width="7.28515625" customWidth="1"/>
  </cols>
  <sheetData>
    <row r="1" spans="1:10" x14ac:dyDescent="0.25">
      <c r="A1" s="421" t="s">
        <v>70</v>
      </c>
      <c r="B1" s="421"/>
      <c r="C1" s="421"/>
      <c r="D1" s="421"/>
      <c r="E1" s="421"/>
      <c r="F1" s="421"/>
      <c r="G1" s="421"/>
      <c r="H1" s="421"/>
      <c r="I1" s="421"/>
      <c r="J1" s="421"/>
    </row>
    <row r="2" spans="1:10" s="47" customFormat="1" ht="27" customHeight="1" x14ac:dyDescent="0.25">
      <c r="A2" s="422" t="s">
        <v>235</v>
      </c>
      <c r="B2" s="422"/>
      <c r="C2" s="422"/>
      <c r="D2" s="422"/>
      <c r="E2" s="422"/>
      <c r="F2" s="422"/>
      <c r="G2" s="422"/>
      <c r="H2" s="422"/>
      <c r="I2" s="422"/>
      <c r="J2" s="422"/>
    </row>
    <row r="3" spans="1:10" ht="27" customHeight="1" x14ac:dyDescent="0.25">
      <c r="A3" s="423" t="s">
        <v>71</v>
      </c>
      <c r="B3" s="424"/>
      <c r="C3" s="424"/>
      <c r="D3" s="424"/>
      <c r="E3" s="424"/>
      <c r="F3" s="424"/>
      <c r="G3" s="424"/>
      <c r="H3" s="424"/>
      <c r="I3" s="424"/>
      <c r="J3" s="425"/>
    </row>
    <row r="4" spans="1:10" x14ac:dyDescent="0.25">
      <c r="A4" s="426"/>
      <c r="B4" s="427"/>
      <c r="C4" s="427"/>
      <c r="D4" s="427"/>
      <c r="E4" s="427"/>
      <c r="F4" s="427"/>
      <c r="G4" s="427"/>
      <c r="H4" s="427"/>
      <c r="I4" s="427"/>
      <c r="J4" s="428"/>
    </row>
    <row r="5" spans="1:10" x14ac:dyDescent="0.25">
      <c r="A5" s="429" t="s">
        <v>72</v>
      </c>
      <c r="B5" s="429"/>
      <c r="C5" s="429"/>
      <c r="D5" s="429"/>
      <c r="E5" s="429"/>
      <c r="F5" s="429"/>
      <c r="G5" s="429"/>
      <c r="H5" s="429"/>
      <c r="I5" s="429"/>
      <c r="J5" s="429"/>
    </row>
    <row r="6" spans="1:10" x14ac:dyDescent="0.25">
      <c r="A6" s="49" t="s">
        <v>23</v>
      </c>
      <c r="B6" s="430" t="s">
        <v>73</v>
      </c>
      <c r="C6" s="431"/>
      <c r="D6" s="431"/>
      <c r="E6" s="431"/>
      <c r="F6" s="432"/>
      <c r="G6" s="433"/>
      <c r="H6" s="434"/>
      <c r="I6" s="434"/>
      <c r="J6" s="435"/>
    </row>
    <row r="7" spans="1:10" x14ac:dyDescent="0.25">
      <c r="A7" s="49" t="s">
        <v>30</v>
      </c>
      <c r="B7" s="442" t="s">
        <v>74</v>
      </c>
      <c r="C7" s="443"/>
      <c r="D7" s="443"/>
      <c r="E7" s="443"/>
      <c r="F7" s="444"/>
      <c r="G7" s="445" t="s">
        <v>75</v>
      </c>
      <c r="H7" s="446"/>
      <c r="I7" s="446"/>
      <c r="J7" s="447"/>
    </row>
    <row r="8" spans="1:10" x14ac:dyDescent="0.25">
      <c r="A8" s="49" t="s">
        <v>32</v>
      </c>
      <c r="B8" s="442" t="s">
        <v>76</v>
      </c>
      <c r="C8" s="443"/>
      <c r="D8" s="443"/>
      <c r="E8" s="443"/>
      <c r="F8" s="444"/>
      <c r="G8" s="445" t="s">
        <v>77</v>
      </c>
      <c r="H8" s="446"/>
      <c r="I8" s="446"/>
      <c r="J8" s="447"/>
    </row>
    <row r="9" spans="1:10" x14ac:dyDescent="0.25">
      <c r="A9" s="49" t="s">
        <v>25</v>
      </c>
      <c r="B9" s="430" t="s">
        <v>78</v>
      </c>
      <c r="C9" s="431"/>
      <c r="D9" s="431"/>
      <c r="E9" s="431"/>
      <c r="F9" s="432"/>
      <c r="G9" s="445">
        <v>12</v>
      </c>
      <c r="H9" s="446"/>
      <c r="I9" s="446"/>
      <c r="J9" s="447"/>
    </row>
    <row r="10" spans="1:10" x14ac:dyDescent="0.25">
      <c r="A10" s="426"/>
      <c r="B10" s="427"/>
      <c r="C10" s="427"/>
      <c r="D10" s="427"/>
      <c r="E10" s="427"/>
      <c r="F10" s="427"/>
      <c r="G10" s="427"/>
      <c r="H10" s="427"/>
      <c r="I10" s="427"/>
      <c r="J10" s="428"/>
    </row>
    <row r="11" spans="1:10" x14ac:dyDescent="0.25">
      <c r="A11" s="436" t="s">
        <v>79</v>
      </c>
      <c r="B11" s="437"/>
      <c r="C11" s="437"/>
      <c r="D11" s="437"/>
      <c r="E11" s="437"/>
      <c r="F11" s="437"/>
      <c r="G11" s="437"/>
      <c r="H11" s="437"/>
      <c r="I11" s="437"/>
      <c r="J11" s="438"/>
    </row>
    <row r="12" spans="1:10" ht="25.5" x14ac:dyDescent="0.25">
      <c r="A12" s="439" t="s">
        <v>80</v>
      </c>
      <c r="B12" s="439"/>
      <c r="C12" s="439"/>
      <c r="D12" s="439"/>
      <c r="E12" s="439"/>
      <c r="F12" s="439"/>
      <c r="G12" s="439"/>
      <c r="H12" s="439" t="s">
        <v>81</v>
      </c>
      <c r="I12" s="439"/>
      <c r="J12" s="51" t="s">
        <v>82</v>
      </c>
    </row>
    <row r="13" spans="1:10" ht="51" customHeight="1" x14ac:dyDescent="0.25">
      <c r="A13" s="440" t="s">
        <v>385</v>
      </c>
      <c r="B13" s="440"/>
      <c r="C13" s="440"/>
      <c r="D13" s="440"/>
      <c r="E13" s="440"/>
      <c r="F13" s="440"/>
      <c r="G13" s="440"/>
      <c r="H13" s="441" t="s">
        <v>84</v>
      </c>
      <c r="I13" s="441"/>
      <c r="J13" s="52">
        <v>1</v>
      </c>
    </row>
    <row r="14" spans="1:10" x14ac:dyDescent="0.25">
      <c r="A14" s="426"/>
      <c r="B14" s="427"/>
      <c r="C14" s="427"/>
      <c r="D14" s="427"/>
      <c r="E14" s="427"/>
      <c r="F14" s="427"/>
      <c r="G14" s="427"/>
      <c r="H14" s="427"/>
      <c r="I14" s="427"/>
      <c r="J14" s="428"/>
    </row>
    <row r="15" spans="1:10" x14ac:dyDescent="0.25">
      <c r="A15" s="451" t="s">
        <v>85</v>
      </c>
      <c r="B15" s="452"/>
      <c r="C15" s="452"/>
      <c r="D15" s="452"/>
      <c r="E15" s="452"/>
      <c r="F15" s="452"/>
      <c r="G15" s="452"/>
      <c r="H15" s="452"/>
      <c r="I15" s="452"/>
      <c r="J15" s="453"/>
    </row>
    <row r="16" spans="1:10" x14ac:dyDescent="0.25">
      <c r="A16" s="430" t="s">
        <v>86</v>
      </c>
      <c r="B16" s="431"/>
      <c r="C16" s="431"/>
      <c r="D16" s="431"/>
      <c r="E16" s="431"/>
      <c r="F16" s="431"/>
      <c r="G16" s="431"/>
      <c r="H16" s="431"/>
      <c r="I16" s="431"/>
      <c r="J16" s="432"/>
    </row>
    <row r="17" spans="1:14" x14ac:dyDescent="0.25">
      <c r="A17" s="430" t="s">
        <v>87</v>
      </c>
      <c r="B17" s="431"/>
      <c r="C17" s="431"/>
      <c r="D17" s="431"/>
      <c r="E17" s="431"/>
      <c r="F17" s="431"/>
      <c r="G17" s="431"/>
      <c r="H17" s="431"/>
      <c r="I17" s="431"/>
      <c r="J17" s="432"/>
    </row>
    <row r="18" spans="1:14" x14ac:dyDescent="0.25">
      <c r="A18" s="454" t="s">
        <v>88</v>
      </c>
      <c r="B18" s="454"/>
      <c r="C18" s="454"/>
      <c r="D18" s="454"/>
      <c r="E18" s="454"/>
      <c r="F18" s="454"/>
      <c r="G18" s="454"/>
      <c r="H18" s="454"/>
      <c r="I18" s="454"/>
      <c r="J18" s="454"/>
    </row>
    <row r="19" spans="1:14" ht="55.9" customHeight="1" x14ac:dyDescent="0.25">
      <c r="A19" s="52">
        <v>1</v>
      </c>
      <c r="B19" s="448" t="s">
        <v>89</v>
      </c>
      <c r="C19" s="448"/>
      <c r="D19" s="448"/>
      <c r="E19" s="448"/>
      <c r="F19" s="448"/>
      <c r="G19" s="448"/>
      <c r="H19" s="455" t="s">
        <v>234</v>
      </c>
      <c r="I19" s="455"/>
      <c r="J19" s="455"/>
    </row>
    <row r="20" spans="1:14" ht="27.75" customHeight="1" x14ac:dyDescent="0.25">
      <c r="A20" s="52">
        <v>2</v>
      </c>
      <c r="B20" s="448" t="s">
        <v>91</v>
      </c>
      <c r="C20" s="448"/>
      <c r="D20" s="448"/>
      <c r="E20" s="448"/>
      <c r="F20" s="448"/>
      <c r="G20" s="448"/>
      <c r="H20" s="440" t="s">
        <v>92</v>
      </c>
      <c r="I20" s="440"/>
      <c r="J20" s="440"/>
    </row>
    <row r="21" spans="1:14" x14ac:dyDescent="0.25">
      <c r="A21" s="52">
        <v>3</v>
      </c>
      <c r="B21" s="448" t="s">
        <v>93</v>
      </c>
      <c r="C21" s="448"/>
      <c r="D21" s="448"/>
      <c r="E21" s="448"/>
      <c r="F21" s="448"/>
      <c r="G21" s="448"/>
      <c r="H21" s="450">
        <v>2390.7399999999998</v>
      </c>
      <c r="I21" s="450"/>
      <c r="J21" s="450"/>
      <c r="L21" s="53"/>
      <c r="M21" s="53"/>
      <c r="N21" s="53"/>
    </row>
    <row r="22" spans="1:14" x14ac:dyDescent="0.25">
      <c r="A22" s="52">
        <v>4</v>
      </c>
      <c r="B22" s="448" t="s">
        <v>94</v>
      </c>
      <c r="C22" s="448"/>
      <c r="D22" s="448"/>
      <c r="E22" s="448"/>
      <c r="F22" s="448"/>
      <c r="G22" s="448"/>
      <c r="H22" s="440" t="s">
        <v>95</v>
      </c>
      <c r="I22" s="441"/>
      <c r="J22" s="441"/>
    </row>
    <row r="23" spans="1:14" x14ac:dyDescent="0.25">
      <c r="A23" s="52">
        <v>5</v>
      </c>
      <c r="B23" s="448" t="s">
        <v>96</v>
      </c>
      <c r="C23" s="448"/>
      <c r="D23" s="448"/>
      <c r="E23" s="448"/>
      <c r="F23" s="448"/>
      <c r="G23" s="448"/>
      <c r="H23" s="456">
        <v>44197</v>
      </c>
      <c r="I23" s="441"/>
      <c r="J23" s="441"/>
    </row>
    <row r="24" spans="1:14" x14ac:dyDescent="0.25">
      <c r="A24" s="52">
        <v>6</v>
      </c>
      <c r="B24" s="448" t="s">
        <v>97</v>
      </c>
      <c r="C24" s="448"/>
      <c r="D24" s="448"/>
      <c r="E24" s="448"/>
      <c r="F24" s="448"/>
      <c r="G24" s="448"/>
      <c r="H24" s="597">
        <v>13.16</v>
      </c>
      <c r="I24" s="598"/>
      <c r="J24" s="599"/>
    </row>
    <row r="25" spans="1:14" x14ac:dyDescent="0.25">
      <c r="A25" s="52">
        <v>7</v>
      </c>
      <c r="B25" s="448" t="s">
        <v>98</v>
      </c>
      <c r="C25" s="448"/>
      <c r="D25" s="448"/>
      <c r="E25" s="448"/>
      <c r="F25" s="448"/>
      <c r="G25" s="448"/>
      <c r="H25" s="597">
        <v>2.63</v>
      </c>
      <c r="I25" s="598"/>
      <c r="J25" s="599"/>
    </row>
    <row r="26" spans="1:14" x14ac:dyDescent="0.25">
      <c r="A26" s="52">
        <v>8</v>
      </c>
      <c r="B26" s="448" t="s">
        <v>99</v>
      </c>
      <c r="C26" s="448"/>
      <c r="D26" s="448"/>
      <c r="E26" s="448"/>
      <c r="F26" s="448"/>
      <c r="G26" s="448"/>
      <c r="H26" s="450">
        <v>19.739999999999998</v>
      </c>
      <c r="I26" s="450"/>
      <c r="J26" s="450"/>
    </row>
    <row r="27" spans="1:14" x14ac:dyDescent="0.25">
      <c r="A27" s="52">
        <v>9</v>
      </c>
      <c r="B27" s="430" t="s">
        <v>100</v>
      </c>
      <c r="C27" s="431"/>
      <c r="D27" s="431"/>
      <c r="E27" s="431"/>
      <c r="F27" s="431"/>
      <c r="G27" s="432"/>
      <c r="H27" s="450">
        <v>26.68</v>
      </c>
      <c r="I27" s="450"/>
      <c r="J27" s="450"/>
    </row>
    <row r="28" spans="1:14" x14ac:dyDescent="0.25">
      <c r="A28" s="52">
        <v>10</v>
      </c>
      <c r="B28" s="448" t="s">
        <v>101</v>
      </c>
      <c r="C28" s="448"/>
      <c r="D28" s="448"/>
      <c r="E28" s="448"/>
      <c r="F28" s="448"/>
      <c r="G28" s="448"/>
      <c r="H28" s="450">
        <v>26.31</v>
      </c>
      <c r="I28" s="450"/>
      <c r="J28" s="450"/>
    </row>
    <row r="29" spans="1:14" x14ac:dyDescent="0.25">
      <c r="A29" s="426"/>
      <c r="B29" s="427"/>
      <c r="C29" s="427"/>
      <c r="D29" s="427"/>
      <c r="E29" s="427"/>
      <c r="F29" s="427"/>
      <c r="G29" s="427"/>
      <c r="H29" s="427"/>
      <c r="I29" s="427"/>
      <c r="J29" s="428"/>
    </row>
    <row r="30" spans="1:14" ht="21" customHeight="1" x14ac:dyDescent="0.25">
      <c r="A30" s="54"/>
      <c r="B30" s="55"/>
      <c r="C30" s="55"/>
      <c r="D30" s="55"/>
      <c r="E30" s="55"/>
      <c r="F30" s="55"/>
      <c r="G30" s="55"/>
      <c r="H30" s="55"/>
      <c r="I30" s="55"/>
      <c r="J30" s="94"/>
    </row>
    <row r="31" spans="1:14" x14ac:dyDescent="0.25">
      <c r="A31" s="465" t="s">
        <v>102</v>
      </c>
      <c r="B31" s="465"/>
      <c r="C31" s="465"/>
      <c r="D31" s="465"/>
      <c r="E31" s="465"/>
      <c r="F31" s="465"/>
      <c r="G31" s="465"/>
      <c r="H31" s="465"/>
      <c r="I31" s="465"/>
      <c r="J31" s="466"/>
    </row>
    <row r="32" spans="1:14" x14ac:dyDescent="0.25">
      <c r="A32" s="57">
        <v>1</v>
      </c>
      <c r="B32" s="445" t="s">
        <v>103</v>
      </c>
      <c r="C32" s="446"/>
      <c r="D32" s="446"/>
      <c r="E32" s="446"/>
      <c r="F32" s="446"/>
      <c r="G32" s="446"/>
      <c r="H32" s="446"/>
      <c r="I32" s="447"/>
      <c r="J32" s="50" t="s">
        <v>15</v>
      </c>
    </row>
    <row r="33" spans="1:17" x14ac:dyDescent="0.25">
      <c r="A33" s="52" t="s">
        <v>23</v>
      </c>
      <c r="B33" s="430" t="s">
        <v>104</v>
      </c>
      <c r="C33" s="431"/>
      <c r="D33" s="431"/>
      <c r="E33" s="431"/>
      <c r="F33" s="431"/>
      <c r="G33" s="431"/>
      <c r="H33" s="431"/>
      <c r="I33" s="432"/>
      <c r="J33" s="58">
        <f>H21</f>
        <v>2390.7399999999998</v>
      </c>
      <c r="L33" s="53"/>
    </row>
    <row r="34" spans="1:17" ht="18" customHeight="1" x14ac:dyDescent="0.25">
      <c r="A34" s="52" t="s">
        <v>30</v>
      </c>
      <c r="B34" s="430" t="s">
        <v>105</v>
      </c>
      <c r="C34" s="431"/>
      <c r="D34" s="431"/>
      <c r="E34" s="431"/>
      <c r="F34" s="431"/>
      <c r="G34" s="431"/>
      <c r="H34" s="431"/>
      <c r="I34" s="432"/>
      <c r="J34" s="58">
        <f>30%*J33</f>
        <v>717.22199999999987</v>
      </c>
    </row>
    <row r="35" spans="1:17" ht="26.25" customHeight="1" x14ac:dyDescent="0.25">
      <c r="A35" s="59" t="s">
        <v>32</v>
      </c>
      <c r="B35" s="442"/>
      <c r="C35" s="443"/>
      <c r="D35" s="443"/>
      <c r="E35" s="443"/>
      <c r="F35" s="443"/>
      <c r="G35" s="443"/>
      <c r="H35" s="443"/>
      <c r="I35" s="444"/>
      <c r="J35" s="60"/>
    </row>
    <row r="36" spans="1:17" ht="22.5" customHeight="1" x14ac:dyDescent="0.25">
      <c r="A36" s="61" t="s">
        <v>106</v>
      </c>
      <c r="B36" s="445" t="s">
        <v>107</v>
      </c>
      <c r="C36" s="446"/>
      <c r="D36" s="446"/>
      <c r="E36" s="446"/>
      <c r="F36" s="446"/>
      <c r="G36" s="446"/>
      <c r="H36" s="446"/>
      <c r="I36" s="447"/>
      <c r="J36" s="62">
        <f>SUM(J33:J35)</f>
        <v>3107.9619999999995</v>
      </c>
    </row>
    <row r="37" spans="1:17" x14ac:dyDescent="0.25">
      <c r="A37" s="457"/>
      <c r="B37" s="458"/>
      <c r="C37" s="458"/>
      <c r="D37" s="458"/>
      <c r="E37" s="458"/>
      <c r="F37" s="458"/>
      <c r="G37" s="458"/>
      <c r="H37" s="458"/>
      <c r="I37" s="458"/>
      <c r="J37" s="458"/>
    </row>
    <row r="38" spans="1:17" x14ac:dyDescent="0.25">
      <c r="A38" s="459" t="s">
        <v>108</v>
      </c>
      <c r="B38" s="459"/>
      <c r="C38" s="459"/>
      <c r="D38" s="459"/>
      <c r="E38" s="459"/>
      <c r="F38" s="459"/>
      <c r="G38" s="459"/>
      <c r="H38" s="459"/>
      <c r="I38" s="459"/>
      <c r="J38" s="459"/>
    </row>
    <row r="39" spans="1:17" x14ac:dyDescent="0.25">
      <c r="A39" s="460"/>
      <c r="B39" s="460"/>
      <c r="C39" s="460"/>
      <c r="D39" s="460"/>
      <c r="E39" s="460"/>
      <c r="F39" s="460"/>
      <c r="G39" s="460"/>
      <c r="H39" s="460"/>
      <c r="I39" s="460"/>
      <c r="J39" s="460"/>
    </row>
    <row r="40" spans="1:17" x14ac:dyDescent="0.25">
      <c r="A40" s="461"/>
      <c r="B40" s="462"/>
      <c r="C40" s="462"/>
      <c r="D40" s="462"/>
      <c r="E40" s="462"/>
      <c r="F40" s="462"/>
      <c r="G40" s="462"/>
      <c r="H40" s="462"/>
      <c r="I40" s="462"/>
      <c r="J40" s="462"/>
    </row>
    <row r="41" spans="1:17" x14ac:dyDescent="0.25">
      <c r="A41" s="463" t="s">
        <v>109</v>
      </c>
      <c r="B41" s="463"/>
      <c r="C41" s="463"/>
      <c r="D41" s="463"/>
      <c r="E41" s="463"/>
      <c r="F41" s="463"/>
      <c r="G41" s="463"/>
      <c r="H41" s="463"/>
      <c r="I41" s="463"/>
      <c r="J41" s="464"/>
    </row>
    <row r="42" spans="1:17" x14ac:dyDescent="0.25">
      <c r="A42" s="63"/>
      <c r="B42" s="64"/>
      <c r="C42" s="64"/>
      <c r="D42" s="64"/>
      <c r="E42" s="64"/>
      <c r="F42" s="64"/>
      <c r="G42" s="64"/>
      <c r="H42" s="64"/>
      <c r="I42" s="64"/>
      <c r="J42" s="64"/>
    </row>
    <row r="43" spans="1:17" x14ac:dyDescent="0.25">
      <c r="A43" s="468" t="s">
        <v>110</v>
      </c>
      <c r="B43" s="469"/>
      <c r="C43" s="469"/>
      <c r="D43" s="469"/>
      <c r="E43" s="469"/>
      <c r="F43" s="469"/>
      <c r="G43" s="469"/>
      <c r="H43" s="469"/>
      <c r="I43" s="469"/>
      <c r="J43" s="469"/>
      <c r="L43" t="s">
        <v>111</v>
      </c>
      <c r="M43" t="s">
        <v>112</v>
      </c>
      <c r="N43" t="s">
        <v>113</v>
      </c>
      <c r="O43" t="s">
        <v>114</v>
      </c>
      <c r="P43" t="s">
        <v>115</v>
      </c>
      <c r="Q43" t="s">
        <v>116</v>
      </c>
    </row>
    <row r="44" spans="1:17" x14ac:dyDescent="0.25">
      <c r="A44" s="7" t="s">
        <v>117</v>
      </c>
      <c r="B44" s="445" t="s">
        <v>118</v>
      </c>
      <c r="C44" s="446"/>
      <c r="D44" s="446"/>
      <c r="E44" s="446"/>
      <c r="F44" s="446"/>
      <c r="G44" s="446"/>
      <c r="H44" s="446"/>
      <c r="I44" s="447"/>
      <c r="J44" s="50" t="s">
        <v>15</v>
      </c>
      <c r="L44">
        <f>J36/12</f>
        <v>258.99683333333331</v>
      </c>
      <c r="M44">
        <f>L44/12</f>
        <v>21.583069444444444</v>
      </c>
      <c r="N44">
        <f>L44/12</f>
        <v>21.583069444444444</v>
      </c>
      <c r="O44">
        <f>N44/3</f>
        <v>7.1943564814814813</v>
      </c>
      <c r="P44">
        <f>L44+M44+N44+O44</f>
        <v>309.35732870370367</v>
      </c>
      <c r="Q44">
        <f>P44*I63</f>
        <v>113.84349696296297</v>
      </c>
    </row>
    <row r="45" spans="1:17" x14ac:dyDescent="0.25">
      <c r="A45" s="52" t="s">
        <v>23</v>
      </c>
      <c r="B45" s="430" t="s">
        <v>119</v>
      </c>
      <c r="C45" s="431"/>
      <c r="D45" s="431"/>
      <c r="E45" s="431"/>
      <c r="F45" s="431"/>
      <c r="G45" s="431"/>
      <c r="H45" s="431"/>
      <c r="I45" s="65">
        <v>8.3299999999999999E-2</v>
      </c>
      <c r="J45" s="12">
        <f>I45*J36</f>
        <v>258.89323459999997</v>
      </c>
      <c r="Q45">
        <f>P44+Q44</f>
        <v>423.20082566666667</v>
      </c>
    </row>
    <row r="46" spans="1:17" x14ac:dyDescent="0.25">
      <c r="A46" s="52" t="s">
        <v>30</v>
      </c>
      <c r="B46" s="430" t="s">
        <v>120</v>
      </c>
      <c r="C46" s="431"/>
      <c r="D46" s="431"/>
      <c r="E46" s="431"/>
      <c r="F46" s="431"/>
      <c r="G46" s="431"/>
      <c r="H46" s="431"/>
      <c r="I46" s="65">
        <v>0.1111</v>
      </c>
      <c r="J46" s="66">
        <f>I46*J36</f>
        <v>345.29457819999999</v>
      </c>
    </row>
    <row r="47" spans="1:17" x14ac:dyDescent="0.25">
      <c r="A47" s="445" t="s">
        <v>121</v>
      </c>
      <c r="B47" s="446"/>
      <c r="C47" s="446"/>
      <c r="D47" s="446"/>
      <c r="E47" s="446"/>
      <c r="F47" s="446"/>
      <c r="G47" s="446"/>
      <c r="H47" s="446"/>
      <c r="I47" s="67">
        <f>SUM(I45:I46)</f>
        <v>0.19440000000000002</v>
      </c>
      <c r="J47" s="68">
        <f>SUM(J45:J46)</f>
        <v>604.18781279999996</v>
      </c>
    </row>
    <row r="48" spans="1:17" x14ac:dyDescent="0.25">
      <c r="A48" s="470"/>
      <c r="B48" s="471"/>
      <c r="C48" s="471"/>
      <c r="D48" s="471"/>
      <c r="E48" s="471"/>
      <c r="F48" s="471"/>
      <c r="G48" s="471"/>
      <c r="H48" s="471"/>
      <c r="I48" s="471"/>
      <c r="J48" s="471"/>
    </row>
    <row r="49" spans="1:17" ht="46.5" customHeight="1" x14ac:dyDescent="0.25">
      <c r="A49" s="467" t="s">
        <v>122</v>
      </c>
      <c r="B49" s="467"/>
      <c r="C49" s="467"/>
      <c r="D49" s="467"/>
      <c r="E49" s="467"/>
      <c r="F49" s="467"/>
      <c r="G49" s="467"/>
      <c r="H49" s="467"/>
      <c r="I49" s="467"/>
      <c r="J49" s="467"/>
      <c r="Q49">
        <f>L44+Q45</f>
        <v>682.19765899999993</v>
      </c>
    </row>
    <row r="50" spans="1:17" ht="46.5" customHeight="1" x14ac:dyDescent="0.25">
      <c r="A50" s="467" t="s">
        <v>123</v>
      </c>
      <c r="B50" s="467"/>
      <c r="C50" s="467"/>
      <c r="D50" s="467"/>
      <c r="E50" s="467"/>
      <c r="F50" s="467"/>
      <c r="G50" s="467"/>
      <c r="H50" s="467"/>
      <c r="I50" s="467"/>
      <c r="J50" s="467"/>
    </row>
    <row r="51" spans="1:17" ht="46.5" customHeight="1" x14ac:dyDescent="0.25">
      <c r="A51" s="467" t="s">
        <v>124</v>
      </c>
      <c r="B51" s="467"/>
      <c r="C51" s="467"/>
      <c r="D51" s="467"/>
      <c r="E51" s="467"/>
      <c r="F51" s="467"/>
      <c r="G51" s="467"/>
      <c r="H51" s="467"/>
      <c r="I51" s="467"/>
      <c r="J51" s="467"/>
    </row>
    <row r="52" spans="1:17" ht="46.5" customHeight="1" x14ac:dyDescent="0.25">
      <c r="A52" s="461"/>
      <c r="B52" s="462"/>
      <c r="C52" s="462"/>
      <c r="D52" s="462"/>
      <c r="E52" s="462"/>
      <c r="F52" s="462"/>
      <c r="G52" s="462"/>
      <c r="H52" s="462"/>
      <c r="I52" s="462"/>
      <c r="J52" s="462"/>
    </row>
    <row r="53" spans="1:17" x14ac:dyDescent="0.25">
      <c r="A53" s="468" t="s">
        <v>125</v>
      </c>
      <c r="B53" s="469"/>
      <c r="C53" s="469"/>
      <c r="D53" s="469"/>
      <c r="E53" s="469"/>
      <c r="F53" s="469"/>
      <c r="G53" s="469"/>
      <c r="H53" s="469"/>
      <c r="I53" s="469"/>
      <c r="J53" s="469"/>
    </row>
    <row r="54" spans="1:17" x14ac:dyDescent="0.25">
      <c r="A54" s="7" t="s">
        <v>4</v>
      </c>
      <c r="B54" s="454" t="s">
        <v>5</v>
      </c>
      <c r="C54" s="454"/>
      <c r="D54" s="454"/>
      <c r="E54" s="454"/>
      <c r="F54" s="454"/>
      <c r="G54" s="454"/>
      <c r="H54" s="454"/>
      <c r="I54" s="6" t="s">
        <v>126</v>
      </c>
      <c r="J54" s="50" t="s">
        <v>15</v>
      </c>
    </row>
    <row r="55" spans="1:17" x14ac:dyDescent="0.25">
      <c r="A55" s="52" t="s">
        <v>23</v>
      </c>
      <c r="B55" s="448" t="s">
        <v>127</v>
      </c>
      <c r="C55" s="448"/>
      <c r="D55" s="448"/>
      <c r="E55" s="448"/>
      <c r="F55" s="448"/>
      <c r="G55" s="448"/>
      <c r="H55" s="448"/>
      <c r="I55" s="9">
        <v>0.2</v>
      </c>
      <c r="J55" s="69">
        <f t="shared" ref="J55:J62" si="0">I55*(J$36+J$47)</f>
        <v>742.42996255999992</v>
      </c>
    </row>
    <row r="56" spans="1:17" x14ac:dyDescent="0.25">
      <c r="A56" s="52" t="s">
        <v>20</v>
      </c>
      <c r="B56" s="448" t="s">
        <v>128</v>
      </c>
      <c r="C56" s="448"/>
      <c r="D56" s="448"/>
      <c r="E56" s="448"/>
      <c r="F56" s="448"/>
      <c r="G56" s="448"/>
      <c r="H56" s="448"/>
      <c r="I56" s="9">
        <v>2.5000000000000001E-2</v>
      </c>
      <c r="J56" s="69">
        <f t="shared" si="0"/>
        <v>92.80374531999999</v>
      </c>
    </row>
    <row r="57" spans="1:17" x14ac:dyDescent="0.25">
      <c r="A57" s="52" t="s">
        <v>11</v>
      </c>
      <c r="B57" s="448" t="s">
        <v>12</v>
      </c>
      <c r="C57" s="448"/>
      <c r="D57" s="448"/>
      <c r="E57" s="448"/>
      <c r="F57" s="448"/>
      <c r="G57" s="448"/>
      <c r="H57" s="448"/>
      <c r="I57" s="9">
        <v>0.03</v>
      </c>
      <c r="J57" s="69">
        <f t="shared" si="0"/>
        <v>111.36449438399998</v>
      </c>
    </row>
    <row r="58" spans="1:17" x14ac:dyDescent="0.25">
      <c r="A58" s="52" t="s">
        <v>30</v>
      </c>
      <c r="B58" s="448" t="s">
        <v>129</v>
      </c>
      <c r="C58" s="448"/>
      <c r="D58" s="448"/>
      <c r="E58" s="448"/>
      <c r="F58" s="448"/>
      <c r="G58" s="448"/>
      <c r="H58" s="448"/>
      <c r="I58" s="9">
        <v>1.4999999999999999E-2</v>
      </c>
      <c r="J58" s="69">
        <f t="shared" si="0"/>
        <v>55.682247191999991</v>
      </c>
    </row>
    <row r="59" spans="1:17" x14ac:dyDescent="0.25">
      <c r="A59" s="52" t="s">
        <v>32</v>
      </c>
      <c r="B59" s="448" t="s">
        <v>130</v>
      </c>
      <c r="C59" s="448"/>
      <c r="D59" s="448"/>
      <c r="E59" s="448"/>
      <c r="F59" s="448"/>
      <c r="G59" s="448"/>
      <c r="H59" s="448"/>
      <c r="I59" s="9">
        <v>0.01</v>
      </c>
      <c r="J59" s="69">
        <f t="shared" si="0"/>
        <v>37.121498127999992</v>
      </c>
    </row>
    <row r="60" spans="1:17" x14ac:dyDescent="0.25">
      <c r="A60" s="52" t="s">
        <v>131</v>
      </c>
      <c r="B60" s="448" t="s">
        <v>132</v>
      </c>
      <c r="C60" s="448"/>
      <c r="D60" s="448"/>
      <c r="E60" s="448"/>
      <c r="F60" s="448"/>
      <c r="G60" s="448"/>
      <c r="H60" s="448"/>
      <c r="I60" s="9">
        <v>6.0000000000000001E-3</v>
      </c>
      <c r="J60" s="69">
        <f t="shared" si="0"/>
        <v>22.272898876799996</v>
      </c>
    </row>
    <row r="61" spans="1:17" x14ac:dyDescent="0.25">
      <c r="A61" s="52" t="s">
        <v>25</v>
      </c>
      <c r="B61" s="448" t="s">
        <v>133</v>
      </c>
      <c r="C61" s="448"/>
      <c r="D61" s="448"/>
      <c r="E61" s="448"/>
      <c r="F61" s="448"/>
      <c r="G61" s="448"/>
      <c r="H61" s="448"/>
      <c r="I61" s="9">
        <v>2E-3</v>
      </c>
      <c r="J61" s="69">
        <f t="shared" si="0"/>
        <v>7.4242996255999989</v>
      </c>
    </row>
    <row r="62" spans="1:17" x14ac:dyDescent="0.25">
      <c r="A62" s="52" t="s">
        <v>37</v>
      </c>
      <c r="B62" s="448" t="s">
        <v>134</v>
      </c>
      <c r="C62" s="448"/>
      <c r="D62" s="448"/>
      <c r="E62" s="448"/>
      <c r="F62" s="448"/>
      <c r="G62" s="448"/>
      <c r="H62" s="448"/>
      <c r="I62" s="9">
        <v>0.08</v>
      </c>
      <c r="J62" s="69">
        <f t="shared" si="0"/>
        <v>296.97198502399993</v>
      </c>
    </row>
    <row r="63" spans="1:17" x14ac:dyDescent="0.25">
      <c r="A63" s="454" t="s">
        <v>121</v>
      </c>
      <c r="B63" s="454"/>
      <c r="C63" s="454"/>
      <c r="D63" s="454"/>
      <c r="E63" s="454"/>
      <c r="F63" s="454"/>
      <c r="G63" s="454"/>
      <c r="H63" s="454"/>
      <c r="I63" s="70">
        <f t="shared" ref="I63" si="1">SUM(I55:I62)</f>
        <v>0.36800000000000005</v>
      </c>
      <c r="J63" s="71">
        <f>SUM(J55:J62)</f>
        <v>1366.0711311103996</v>
      </c>
      <c r="K63" s="53"/>
    </row>
    <row r="64" spans="1:17" x14ac:dyDescent="0.25">
      <c r="A64" s="472"/>
      <c r="B64" s="472"/>
      <c r="C64" s="472"/>
      <c r="D64" s="472"/>
      <c r="E64" s="472"/>
      <c r="F64" s="472"/>
      <c r="G64" s="472"/>
      <c r="H64" s="472"/>
      <c r="I64" s="472"/>
      <c r="J64" s="472"/>
    </row>
    <row r="65" spans="1:10" ht="38.25" customHeight="1" x14ac:dyDescent="0.25">
      <c r="A65" s="467" t="s">
        <v>135</v>
      </c>
      <c r="B65" s="467"/>
      <c r="C65" s="467"/>
      <c r="D65" s="467"/>
      <c r="E65" s="467"/>
      <c r="F65" s="467"/>
      <c r="G65" s="467"/>
      <c r="H65" s="467"/>
      <c r="I65" s="467"/>
      <c r="J65" s="467"/>
    </row>
    <row r="66" spans="1:10" ht="38.25" customHeight="1" x14ac:dyDescent="0.25">
      <c r="A66" s="467" t="s">
        <v>136</v>
      </c>
      <c r="B66" s="467"/>
      <c r="C66" s="467"/>
      <c r="D66" s="467"/>
      <c r="E66" s="467"/>
      <c r="F66" s="467"/>
      <c r="G66" s="467"/>
      <c r="H66" s="467"/>
      <c r="I66" s="467"/>
      <c r="J66" s="467"/>
    </row>
    <row r="67" spans="1:10" ht="38.25" customHeight="1" x14ac:dyDescent="0.25">
      <c r="A67" s="459" t="s">
        <v>137</v>
      </c>
      <c r="B67" s="459"/>
      <c r="C67" s="459"/>
      <c r="D67" s="459"/>
      <c r="E67" s="459"/>
      <c r="F67" s="459"/>
      <c r="G67" s="459"/>
      <c r="H67" s="459"/>
      <c r="I67" s="459"/>
      <c r="J67" s="459"/>
    </row>
    <row r="68" spans="1:10" x14ac:dyDescent="0.25">
      <c r="A68" s="474"/>
      <c r="B68" s="474"/>
      <c r="C68" s="474"/>
      <c r="D68" s="474"/>
      <c r="E68" s="474"/>
      <c r="F68" s="474"/>
      <c r="G68" s="474"/>
      <c r="H68" s="474"/>
      <c r="I68" s="474"/>
      <c r="J68" s="461"/>
    </row>
    <row r="69" spans="1:10" x14ac:dyDescent="0.25">
      <c r="A69" s="468" t="s">
        <v>138</v>
      </c>
      <c r="B69" s="469"/>
      <c r="C69" s="469"/>
      <c r="D69" s="469"/>
      <c r="E69" s="469"/>
      <c r="F69" s="469"/>
      <c r="G69" s="469"/>
      <c r="H69" s="469"/>
      <c r="I69" s="469"/>
      <c r="J69" s="469"/>
    </row>
    <row r="70" spans="1:10" x14ac:dyDescent="0.25">
      <c r="A70" s="72" t="s">
        <v>13</v>
      </c>
      <c r="B70" s="454" t="s">
        <v>14</v>
      </c>
      <c r="C70" s="454"/>
      <c r="D70" s="454"/>
      <c r="E70" s="454"/>
      <c r="F70" s="454"/>
      <c r="G70" s="454"/>
      <c r="H70" s="454"/>
      <c r="I70" s="454"/>
      <c r="J70" s="50" t="s">
        <v>15</v>
      </c>
    </row>
    <row r="71" spans="1:10" x14ac:dyDescent="0.25">
      <c r="A71" s="48" t="s">
        <v>23</v>
      </c>
      <c r="B71" s="448" t="s">
        <v>373</v>
      </c>
      <c r="C71" s="448"/>
      <c r="D71" s="448"/>
      <c r="E71" s="448"/>
      <c r="F71" s="448"/>
      <c r="G71" s="448"/>
      <c r="H71" s="448"/>
      <c r="I71" s="448"/>
      <c r="J71" s="73">
        <f>(15*2*4)-(J33*50%*6%)</f>
        <v>48.277800000000013</v>
      </c>
    </row>
    <row r="72" spans="1:10" x14ac:dyDescent="0.25">
      <c r="A72" s="48" t="s">
        <v>42</v>
      </c>
      <c r="B72" s="448" t="s">
        <v>351</v>
      </c>
      <c r="C72" s="448"/>
      <c r="D72" s="448"/>
      <c r="E72" s="448"/>
      <c r="F72" s="448"/>
      <c r="G72" s="448"/>
      <c r="H72" s="448"/>
      <c r="I72" s="448"/>
      <c r="J72" s="73">
        <f>(15*36)-1%*(15*36)</f>
        <v>534.6</v>
      </c>
    </row>
    <row r="73" spans="1:10" x14ac:dyDescent="0.25">
      <c r="A73" s="48" t="s">
        <v>32</v>
      </c>
      <c r="B73" s="448" t="s">
        <v>139</v>
      </c>
      <c r="C73" s="448"/>
      <c r="D73" s="448"/>
      <c r="E73" s="448"/>
      <c r="F73" s="448"/>
      <c r="G73" s="448"/>
      <c r="H73" s="448"/>
      <c r="I73" s="448"/>
      <c r="J73" s="74">
        <v>0</v>
      </c>
    </row>
    <row r="74" spans="1:10" x14ac:dyDescent="0.25">
      <c r="A74" s="48" t="s">
        <v>25</v>
      </c>
      <c r="B74" s="448" t="s">
        <v>140</v>
      </c>
      <c r="C74" s="448"/>
      <c r="D74" s="448"/>
      <c r="E74" s="448"/>
      <c r="F74" s="448"/>
      <c r="G74" s="448"/>
      <c r="H74" s="448"/>
      <c r="I74" s="448"/>
      <c r="J74" s="74">
        <v>0</v>
      </c>
    </row>
    <row r="75" spans="1:10" ht="21" customHeight="1" x14ac:dyDescent="0.25">
      <c r="A75" s="48" t="s">
        <v>20</v>
      </c>
      <c r="B75" s="448" t="s">
        <v>21</v>
      </c>
      <c r="C75" s="448"/>
      <c r="D75" s="448"/>
      <c r="E75" s="448"/>
      <c r="F75" s="448"/>
      <c r="G75" s="448"/>
      <c r="H75" s="448"/>
      <c r="I75" s="448"/>
      <c r="J75" s="137">
        <f>'Media de custo com mão de o (2)'!M4</f>
        <v>13.5</v>
      </c>
    </row>
    <row r="76" spans="1:10" ht="21" customHeight="1" x14ac:dyDescent="0.25">
      <c r="A76" s="149"/>
      <c r="B76" s="475" t="s">
        <v>299</v>
      </c>
      <c r="C76" s="476"/>
      <c r="D76" s="476"/>
      <c r="E76" s="476"/>
      <c r="F76" s="476"/>
      <c r="G76" s="476"/>
      <c r="H76" s="476"/>
      <c r="I76" s="477"/>
      <c r="J76" s="137">
        <f>28.25/2</f>
        <v>14.125</v>
      </c>
    </row>
    <row r="77" spans="1:10" ht="21" customHeight="1" x14ac:dyDescent="0.25">
      <c r="A77" s="149"/>
      <c r="B77" s="475" t="s">
        <v>298</v>
      </c>
      <c r="C77" s="476"/>
      <c r="D77" s="476"/>
      <c r="E77" s="476"/>
      <c r="F77" s="476"/>
      <c r="G77" s="476"/>
      <c r="H77" s="476"/>
      <c r="I77" s="477"/>
      <c r="J77" s="137">
        <f>'VIG. DIURNO'!J77</f>
        <v>2</v>
      </c>
    </row>
    <row r="78" spans="1:10" x14ac:dyDescent="0.25">
      <c r="A78" s="48"/>
      <c r="B78" s="454" t="s">
        <v>141</v>
      </c>
      <c r="C78" s="454"/>
      <c r="D78" s="454"/>
      <c r="E78" s="454"/>
      <c r="F78" s="454"/>
      <c r="G78" s="454"/>
      <c r="H78" s="454"/>
      <c r="I78" s="454"/>
      <c r="J78" s="75">
        <f>SUM(J71:J75)</f>
        <v>596.37779999999998</v>
      </c>
    </row>
    <row r="79" spans="1:10" x14ac:dyDescent="0.25">
      <c r="A79" s="426"/>
      <c r="B79" s="427"/>
      <c r="C79" s="427"/>
      <c r="D79" s="427"/>
      <c r="E79" s="427"/>
      <c r="F79" s="427"/>
      <c r="G79" s="427"/>
      <c r="H79" s="427"/>
      <c r="I79" s="427"/>
      <c r="J79" s="427"/>
    </row>
    <row r="80" spans="1:10" ht="38.25" customHeight="1" x14ac:dyDescent="0.25">
      <c r="A80" s="473" t="s">
        <v>142</v>
      </c>
      <c r="B80" s="473"/>
      <c r="C80" s="473"/>
      <c r="D80" s="473"/>
      <c r="E80" s="473"/>
      <c r="F80" s="473"/>
      <c r="G80" s="473"/>
      <c r="H80" s="473"/>
      <c r="I80" s="473"/>
      <c r="J80" s="473"/>
    </row>
    <row r="81" spans="1:10" ht="38.25" customHeight="1" x14ac:dyDescent="0.25">
      <c r="A81" s="473" t="s">
        <v>143</v>
      </c>
      <c r="B81" s="473"/>
      <c r="C81" s="473"/>
      <c r="D81" s="473"/>
      <c r="E81" s="473"/>
      <c r="F81" s="473"/>
      <c r="G81" s="473"/>
      <c r="H81" s="473"/>
      <c r="I81" s="473"/>
      <c r="J81" s="473"/>
    </row>
    <row r="82" spans="1:10" x14ac:dyDescent="0.25">
      <c r="A82" s="426"/>
      <c r="B82" s="427"/>
      <c r="C82" s="427"/>
      <c r="D82" s="427"/>
      <c r="E82" s="427"/>
      <c r="F82" s="427"/>
      <c r="G82" s="427"/>
      <c r="H82" s="427"/>
      <c r="I82" s="427"/>
      <c r="J82" s="427"/>
    </row>
    <row r="83" spans="1:10" x14ac:dyDescent="0.25">
      <c r="A83" s="482" t="s">
        <v>144</v>
      </c>
      <c r="B83" s="482"/>
      <c r="C83" s="482"/>
      <c r="D83" s="482"/>
      <c r="E83" s="482"/>
      <c r="F83" s="482"/>
      <c r="G83" s="482"/>
      <c r="H83" s="482"/>
      <c r="I83" s="482"/>
      <c r="J83" s="483"/>
    </row>
    <row r="84" spans="1:10" x14ac:dyDescent="0.25">
      <c r="A84" s="484"/>
      <c r="B84" s="485"/>
      <c r="C84" s="485"/>
      <c r="D84" s="485"/>
      <c r="E84" s="485"/>
      <c r="F84" s="485"/>
      <c r="G84" s="485"/>
      <c r="H84" s="485"/>
      <c r="I84" s="485"/>
      <c r="J84" s="485"/>
    </row>
    <row r="85" spans="1:10" x14ac:dyDescent="0.25">
      <c r="A85" s="7">
        <v>2</v>
      </c>
      <c r="B85" s="454" t="s">
        <v>145</v>
      </c>
      <c r="C85" s="454"/>
      <c r="D85" s="454"/>
      <c r="E85" s="454"/>
      <c r="F85" s="454"/>
      <c r="G85" s="454"/>
      <c r="H85" s="454"/>
      <c r="I85" s="454"/>
      <c r="J85" s="7" t="s">
        <v>15</v>
      </c>
    </row>
    <row r="86" spans="1:10" x14ac:dyDescent="0.25">
      <c r="A86" s="52" t="s">
        <v>117</v>
      </c>
      <c r="B86" s="448" t="s">
        <v>146</v>
      </c>
      <c r="C86" s="448"/>
      <c r="D86" s="448"/>
      <c r="E86" s="448"/>
      <c r="F86" s="448"/>
      <c r="G86" s="448"/>
      <c r="H86" s="448"/>
      <c r="I86" s="448"/>
      <c r="J86" s="76">
        <f>J47</f>
        <v>604.18781279999996</v>
      </c>
    </row>
    <row r="87" spans="1:10" x14ac:dyDescent="0.25">
      <c r="A87" s="52" t="s">
        <v>4</v>
      </c>
      <c r="B87" s="448" t="s">
        <v>147</v>
      </c>
      <c r="C87" s="448"/>
      <c r="D87" s="448"/>
      <c r="E87" s="448"/>
      <c r="F87" s="448"/>
      <c r="G87" s="448"/>
      <c r="H87" s="448"/>
      <c r="I87" s="448"/>
      <c r="J87" s="76">
        <f>J63</f>
        <v>1366.0711311103996</v>
      </c>
    </row>
    <row r="88" spans="1:10" x14ac:dyDescent="0.25">
      <c r="A88" s="52" t="s">
        <v>148</v>
      </c>
      <c r="B88" s="448" t="s">
        <v>149</v>
      </c>
      <c r="C88" s="448"/>
      <c r="D88" s="448"/>
      <c r="E88" s="448"/>
      <c r="F88" s="448"/>
      <c r="G88" s="448"/>
      <c r="H88" s="448"/>
      <c r="I88" s="448"/>
      <c r="J88" s="76">
        <f>J78</f>
        <v>596.37779999999998</v>
      </c>
    </row>
    <row r="89" spans="1:10" x14ac:dyDescent="0.25">
      <c r="A89" s="77"/>
      <c r="B89" s="478" t="s">
        <v>150</v>
      </c>
      <c r="C89" s="478"/>
      <c r="D89" s="478"/>
      <c r="E89" s="478"/>
      <c r="F89" s="478"/>
      <c r="G89" s="478"/>
      <c r="H89" s="478"/>
      <c r="I89" s="478"/>
      <c r="J89" s="78">
        <f>SUM(H86:J88)</f>
        <v>2566.6367439103997</v>
      </c>
    </row>
    <row r="90" spans="1:10" x14ac:dyDescent="0.25">
      <c r="A90" s="479"/>
      <c r="B90" s="480"/>
      <c r="C90" s="480"/>
      <c r="D90" s="480"/>
      <c r="E90" s="480"/>
      <c r="F90" s="480"/>
      <c r="G90" s="480"/>
      <c r="H90" s="480"/>
      <c r="I90" s="480"/>
      <c r="J90" s="480"/>
    </row>
    <row r="91" spans="1:10" x14ac:dyDescent="0.25">
      <c r="A91" s="461"/>
      <c r="B91" s="462"/>
      <c r="C91" s="462"/>
      <c r="D91" s="462"/>
      <c r="E91" s="462"/>
      <c r="F91" s="462"/>
      <c r="G91" s="462"/>
      <c r="H91" s="462"/>
      <c r="I91" s="462"/>
      <c r="J91" s="462"/>
    </row>
    <row r="92" spans="1:10" x14ac:dyDescent="0.25">
      <c r="A92" s="466" t="s">
        <v>151</v>
      </c>
      <c r="B92" s="481"/>
      <c r="C92" s="481"/>
      <c r="D92" s="481"/>
      <c r="E92" s="481"/>
      <c r="F92" s="481"/>
      <c r="G92" s="481"/>
      <c r="H92" s="481"/>
      <c r="I92" s="481"/>
      <c r="J92" s="481"/>
    </row>
    <row r="93" spans="1:10" x14ac:dyDescent="0.25">
      <c r="A93" s="7">
        <v>3</v>
      </c>
      <c r="B93" s="454" t="s">
        <v>22</v>
      </c>
      <c r="C93" s="454"/>
      <c r="D93" s="454"/>
      <c r="E93" s="454"/>
      <c r="F93" s="454"/>
      <c r="G93" s="454"/>
      <c r="H93" s="454"/>
      <c r="I93" s="7" t="s">
        <v>126</v>
      </c>
      <c r="J93" s="50" t="s">
        <v>15</v>
      </c>
    </row>
    <row r="94" spans="1:10" x14ac:dyDescent="0.25">
      <c r="A94" s="52" t="s">
        <v>23</v>
      </c>
      <c r="B94" s="486" t="s">
        <v>24</v>
      </c>
      <c r="C94" s="486"/>
      <c r="D94" s="486"/>
      <c r="E94" s="486"/>
      <c r="F94" s="486"/>
      <c r="G94" s="486"/>
      <c r="H94" s="486"/>
      <c r="I94" s="79">
        <f>'Media de custo com mão de o (2)'!M7</f>
        <v>4.1999999999999997E-3</v>
      </c>
      <c r="J94" s="130">
        <f>I94*J36</f>
        <v>13.053440399999998</v>
      </c>
    </row>
    <row r="95" spans="1:10" ht="21" customHeight="1" x14ac:dyDescent="0.25">
      <c r="A95" s="52" t="s">
        <v>30</v>
      </c>
      <c r="B95" s="486" t="s">
        <v>152</v>
      </c>
      <c r="C95" s="486"/>
      <c r="D95" s="486"/>
      <c r="E95" s="486"/>
      <c r="F95" s="486"/>
      <c r="G95" s="486"/>
      <c r="H95" s="486"/>
      <c r="I95" s="9">
        <f>I62</f>
        <v>0.08</v>
      </c>
      <c r="J95" s="80">
        <f>I95*J94</f>
        <v>1.0442752319999999</v>
      </c>
    </row>
    <row r="96" spans="1:10" ht="25.15" customHeight="1" x14ac:dyDescent="0.25">
      <c r="A96" s="81" t="s">
        <v>32</v>
      </c>
      <c r="B96" s="486" t="s">
        <v>153</v>
      </c>
      <c r="C96" s="486"/>
      <c r="D96" s="486"/>
      <c r="E96" s="486"/>
      <c r="F96" s="486"/>
      <c r="G96" s="486"/>
      <c r="H96" s="486"/>
      <c r="I96" s="82">
        <v>0.02</v>
      </c>
      <c r="J96" s="83">
        <f>I96*J36</f>
        <v>62.15923999999999</v>
      </c>
    </row>
    <row r="97" spans="1:10" ht="27.75" customHeight="1" x14ac:dyDescent="0.25">
      <c r="A97" s="52" t="s">
        <v>25</v>
      </c>
      <c r="B97" s="486" t="s">
        <v>154</v>
      </c>
      <c r="C97" s="486"/>
      <c r="D97" s="486"/>
      <c r="E97" s="486"/>
      <c r="F97" s="486"/>
      <c r="G97" s="486"/>
      <c r="H97" s="486"/>
      <c r="I97" s="330">
        <f>'Media de custo com mão de o (2)'!M8</f>
        <v>1.9400000000000001E-2</v>
      </c>
      <c r="J97" s="80">
        <f>I97*J36</f>
        <v>60.294462799999991</v>
      </c>
    </row>
    <row r="98" spans="1:10" ht="22.15" customHeight="1" x14ac:dyDescent="0.25">
      <c r="A98" s="52" t="s">
        <v>20</v>
      </c>
      <c r="B98" s="486" t="s">
        <v>155</v>
      </c>
      <c r="C98" s="486"/>
      <c r="D98" s="486"/>
      <c r="E98" s="486"/>
      <c r="F98" s="486"/>
      <c r="G98" s="486"/>
      <c r="H98" s="486"/>
      <c r="I98" s="84">
        <f>I63</f>
        <v>0.36800000000000005</v>
      </c>
      <c r="J98" s="80">
        <f>I98*J97</f>
        <v>22.188362310399999</v>
      </c>
    </row>
    <row r="99" spans="1:10" ht="22.15" customHeight="1" x14ac:dyDescent="0.25">
      <c r="A99" s="52" t="s">
        <v>37</v>
      </c>
      <c r="B99" s="486" t="s">
        <v>156</v>
      </c>
      <c r="C99" s="486"/>
      <c r="D99" s="486"/>
      <c r="E99" s="486"/>
      <c r="F99" s="486"/>
      <c r="G99" s="486"/>
      <c r="H99" s="486"/>
      <c r="I99" s="82">
        <v>0.02</v>
      </c>
      <c r="J99" s="83">
        <f>I99*J36</f>
        <v>62.15923999999999</v>
      </c>
    </row>
    <row r="100" spans="1:10" ht="22.15" customHeight="1" x14ac:dyDescent="0.25">
      <c r="A100" s="98"/>
      <c r="B100" s="454" t="s">
        <v>121</v>
      </c>
      <c r="C100" s="454"/>
      <c r="D100" s="454"/>
      <c r="E100" s="454"/>
      <c r="F100" s="454"/>
      <c r="G100" s="454"/>
      <c r="H100" s="454"/>
      <c r="I100" s="86"/>
      <c r="J100" s="58">
        <f>SUM(J94:J99)</f>
        <v>220.89902074239998</v>
      </c>
    </row>
    <row r="101" spans="1:10" x14ac:dyDescent="0.25">
      <c r="A101" s="470"/>
      <c r="B101" s="471"/>
      <c r="C101" s="471"/>
      <c r="D101" s="471"/>
      <c r="E101" s="471"/>
      <c r="F101" s="471"/>
      <c r="G101" s="471"/>
      <c r="H101" s="471"/>
      <c r="I101" s="471"/>
      <c r="J101" s="471"/>
    </row>
    <row r="102" spans="1:10" ht="90.75" customHeight="1" x14ac:dyDescent="0.25">
      <c r="A102" s="467" t="s">
        <v>157</v>
      </c>
      <c r="B102" s="467"/>
      <c r="C102" s="467"/>
      <c r="D102" s="467"/>
      <c r="E102" s="467"/>
      <c r="F102" s="467"/>
      <c r="G102" s="467"/>
      <c r="H102" s="467"/>
      <c r="I102" s="467"/>
      <c r="J102" s="467"/>
    </row>
    <row r="103" spans="1:10" x14ac:dyDescent="0.25">
      <c r="A103" s="487"/>
      <c r="B103" s="488"/>
      <c r="C103" s="488"/>
      <c r="D103" s="488"/>
      <c r="E103" s="488"/>
      <c r="F103" s="488"/>
      <c r="G103" s="488"/>
      <c r="H103" s="488"/>
      <c r="I103" s="488"/>
      <c r="J103" s="488"/>
    </row>
    <row r="104" spans="1:10" x14ac:dyDescent="0.25">
      <c r="A104" s="489" t="s">
        <v>158</v>
      </c>
      <c r="B104" s="490"/>
      <c r="C104" s="490"/>
      <c r="D104" s="490"/>
      <c r="E104" s="490"/>
      <c r="F104" s="490"/>
      <c r="G104" s="490"/>
      <c r="H104" s="490"/>
      <c r="I104" s="490"/>
      <c r="J104" s="490"/>
    </row>
    <row r="105" spans="1:10" x14ac:dyDescent="0.25">
      <c r="A105" s="470"/>
      <c r="B105" s="471"/>
      <c r="C105" s="471"/>
      <c r="D105" s="471"/>
      <c r="E105" s="471"/>
      <c r="F105" s="471"/>
      <c r="G105" s="471"/>
      <c r="H105" s="471"/>
      <c r="I105" s="471"/>
      <c r="J105" s="471"/>
    </row>
    <row r="106" spans="1:10" ht="33.75" customHeight="1" x14ac:dyDescent="0.25">
      <c r="A106" s="467" t="s">
        <v>159</v>
      </c>
      <c r="B106" s="467"/>
      <c r="C106" s="467"/>
      <c r="D106" s="467"/>
      <c r="E106" s="467"/>
      <c r="F106" s="467"/>
      <c r="G106" s="467"/>
      <c r="H106" s="467"/>
      <c r="I106" s="467"/>
      <c r="J106" s="467"/>
    </row>
    <row r="107" spans="1:10" x14ac:dyDescent="0.25">
      <c r="A107" s="461"/>
      <c r="B107" s="462"/>
      <c r="C107" s="462"/>
      <c r="D107" s="462"/>
      <c r="E107" s="462"/>
      <c r="F107" s="462"/>
      <c r="G107" s="462"/>
      <c r="H107" s="462"/>
      <c r="I107" s="462"/>
      <c r="J107" s="462"/>
    </row>
    <row r="108" spans="1:10" x14ac:dyDescent="0.25">
      <c r="A108" s="491" t="s">
        <v>160</v>
      </c>
      <c r="B108" s="491"/>
      <c r="C108" s="491"/>
      <c r="D108" s="491"/>
      <c r="E108" s="491"/>
      <c r="F108" s="491"/>
      <c r="G108" s="491"/>
      <c r="H108" s="491"/>
      <c r="I108" s="491"/>
      <c r="J108" s="468"/>
    </row>
    <row r="109" spans="1:10" x14ac:dyDescent="0.25">
      <c r="A109" s="87" t="s">
        <v>27</v>
      </c>
      <c r="B109" s="454" t="s">
        <v>28</v>
      </c>
      <c r="C109" s="454"/>
      <c r="D109" s="454"/>
      <c r="E109" s="454"/>
      <c r="F109" s="454"/>
      <c r="G109" s="454"/>
      <c r="H109" s="454"/>
      <c r="I109" s="98"/>
      <c r="J109" s="50" t="s">
        <v>15</v>
      </c>
    </row>
    <row r="110" spans="1:10" x14ac:dyDescent="0.25">
      <c r="A110" s="52" t="s">
        <v>23</v>
      </c>
      <c r="B110" s="448" t="s">
        <v>29</v>
      </c>
      <c r="C110" s="448"/>
      <c r="D110" s="448"/>
      <c r="E110" s="448"/>
      <c r="F110" s="448"/>
      <c r="G110" s="448"/>
      <c r="H110" s="448"/>
      <c r="I110" s="88">
        <f>J110/J36</f>
        <v>0.14287886415204992</v>
      </c>
      <c r="J110" s="131">
        <f>'Custo de Substitução nas Ferias'!G11</f>
        <v>444.06208038773332</v>
      </c>
    </row>
    <row r="111" spans="1:10" x14ac:dyDescent="0.25">
      <c r="A111" s="52" t="s">
        <v>30</v>
      </c>
      <c r="B111" s="455" t="s">
        <v>31</v>
      </c>
      <c r="C111" s="448"/>
      <c r="D111" s="448"/>
      <c r="E111" s="448"/>
      <c r="F111" s="448"/>
      <c r="G111" s="448"/>
      <c r="H111" s="448"/>
      <c r="I111" s="88">
        <f>'Media de custo com mão de o (2)'!M10</f>
        <v>5.4535443250101744E-3</v>
      </c>
      <c r="J111" s="131">
        <f>I111*$J$36</f>
        <v>16.949408527447268</v>
      </c>
    </row>
    <row r="112" spans="1:10" x14ac:dyDescent="0.25">
      <c r="A112" s="52" t="s">
        <v>32</v>
      </c>
      <c r="B112" s="448" t="s">
        <v>33</v>
      </c>
      <c r="C112" s="448"/>
      <c r="D112" s="448"/>
      <c r="E112" s="448"/>
      <c r="F112" s="448"/>
      <c r="G112" s="448"/>
      <c r="H112" s="448"/>
      <c r="I112" s="88">
        <f>'Media de custo com mão de o (2)'!M11</f>
        <v>3.8782887649326089E-4</v>
      </c>
      <c r="J112" s="131">
        <f t="shared" ref="J112:J115" si="2">I112*$J$36</f>
        <v>1.2053574106437479</v>
      </c>
    </row>
    <row r="113" spans="1:10" x14ac:dyDescent="0.25">
      <c r="A113" s="52" t="s">
        <v>25</v>
      </c>
      <c r="B113" s="448" t="s">
        <v>34</v>
      </c>
      <c r="C113" s="448"/>
      <c r="D113" s="448"/>
      <c r="E113" s="448"/>
      <c r="F113" s="448"/>
      <c r="G113" s="448"/>
      <c r="H113" s="448"/>
      <c r="I113" s="88">
        <f>'Media de custo com mão de o (2)'!M12</f>
        <v>5.4535443250101744E-3</v>
      </c>
      <c r="J113" s="131">
        <f t="shared" si="2"/>
        <v>16.949408527447268</v>
      </c>
    </row>
    <row r="114" spans="1:10" x14ac:dyDescent="0.25">
      <c r="A114" s="52" t="s">
        <v>20</v>
      </c>
      <c r="B114" s="448" t="s">
        <v>35</v>
      </c>
      <c r="C114" s="448"/>
      <c r="D114" s="448"/>
      <c r="E114" s="448"/>
      <c r="F114" s="448"/>
      <c r="G114" s="448"/>
      <c r="H114" s="448"/>
      <c r="I114" s="88">
        <f>'Media de custo com mão de o (2)'!M13</f>
        <v>5.841373201503435E-4</v>
      </c>
      <c r="J114" s="131">
        <f t="shared" si="2"/>
        <v>1.8154765938091015</v>
      </c>
    </row>
    <row r="115" spans="1:10" x14ac:dyDescent="0.25">
      <c r="A115" s="52" t="s">
        <v>37</v>
      </c>
      <c r="B115" s="448" t="s">
        <v>374</v>
      </c>
      <c r="C115" s="448"/>
      <c r="D115" s="448"/>
      <c r="E115" s="448"/>
      <c r="F115" s="448"/>
      <c r="G115" s="448"/>
      <c r="H115" s="448"/>
      <c r="I115" s="88">
        <f>'Media de custo com mão de o (2)'!M14</f>
        <v>0</v>
      </c>
      <c r="J115" s="131">
        <f t="shared" si="2"/>
        <v>0</v>
      </c>
    </row>
    <row r="116" spans="1:10" ht="22.5" customHeight="1" x14ac:dyDescent="0.25">
      <c r="A116" s="445" t="s">
        <v>150</v>
      </c>
      <c r="B116" s="446"/>
      <c r="C116" s="446"/>
      <c r="D116" s="446"/>
      <c r="E116" s="446"/>
      <c r="F116" s="446"/>
      <c r="G116" s="446"/>
      <c r="H116" s="446"/>
      <c r="I116" s="447"/>
      <c r="J116" s="89">
        <f>SUM(J110:J115)</f>
        <v>480.98173144708062</v>
      </c>
    </row>
    <row r="117" spans="1:10" x14ac:dyDescent="0.25">
      <c r="A117" s="445"/>
      <c r="B117" s="446"/>
      <c r="C117" s="446"/>
      <c r="D117" s="446"/>
      <c r="E117" s="446"/>
      <c r="F117" s="446"/>
      <c r="G117" s="446"/>
      <c r="H117" s="446"/>
      <c r="I117" s="446"/>
      <c r="J117" s="446"/>
    </row>
    <row r="118" spans="1:10" x14ac:dyDescent="0.25">
      <c r="A118" s="468" t="s">
        <v>161</v>
      </c>
      <c r="B118" s="469"/>
      <c r="C118" s="469"/>
      <c r="D118" s="469"/>
      <c r="E118" s="469"/>
      <c r="F118" s="469"/>
      <c r="G118" s="469"/>
      <c r="H118" s="469"/>
      <c r="I118" s="469"/>
      <c r="J118" s="469"/>
    </row>
    <row r="119" spans="1:10" x14ac:dyDescent="0.25">
      <c r="A119" s="7" t="s">
        <v>162</v>
      </c>
      <c r="B119" s="445" t="s">
        <v>163</v>
      </c>
      <c r="C119" s="446"/>
      <c r="D119" s="446"/>
      <c r="E119" s="446"/>
      <c r="F119" s="446"/>
      <c r="G119" s="446"/>
      <c r="H119" s="447"/>
      <c r="I119" s="90"/>
      <c r="J119" s="50" t="s">
        <v>15</v>
      </c>
    </row>
    <row r="120" spans="1:10" x14ac:dyDescent="0.25">
      <c r="A120" s="52" t="s">
        <v>23</v>
      </c>
      <c r="B120" s="430" t="s">
        <v>375</v>
      </c>
      <c r="C120" s="431"/>
      <c r="D120" s="431"/>
      <c r="E120" s="431"/>
      <c r="F120" s="431"/>
      <c r="G120" s="431"/>
      <c r="H120" s="432"/>
      <c r="I120" s="91"/>
      <c r="J120" s="69">
        <f>21.19*15</f>
        <v>317.85000000000002</v>
      </c>
    </row>
    <row r="121" spans="1:10" x14ac:dyDescent="0.25">
      <c r="A121" s="445" t="s">
        <v>150</v>
      </c>
      <c r="B121" s="446"/>
      <c r="C121" s="446"/>
      <c r="D121" s="446"/>
      <c r="E121" s="446"/>
      <c r="F121" s="446"/>
      <c r="G121" s="446"/>
      <c r="H121" s="447"/>
      <c r="I121" s="91"/>
      <c r="J121" s="71">
        <f>SUM(J120:J120)</f>
        <v>317.85000000000002</v>
      </c>
    </row>
    <row r="122" spans="1:10" x14ac:dyDescent="0.25">
      <c r="A122" s="441"/>
      <c r="B122" s="441"/>
      <c r="C122" s="441"/>
      <c r="D122" s="441"/>
      <c r="E122" s="441"/>
      <c r="F122" s="441"/>
      <c r="G122" s="441"/>
      <c r="H122" s="441"/>
      <c r="I122" s="441"/>
      <c r="J122" s="426"/>
    </row>
    <row r="123" spans="1:10" x14ac:dyDescent="0.25">
      <c r="A123" s="491" t="s">
        <v>164</v>
      </c>
      <c r="B123" s="491"/>
      <c r="C123" s="491"/>
      <c r="D123" s="491"/>
      <c r="E123" s="491"/>
      <c r="F123" s="491"/>
      <c r="G123" s="491"/>
      <c r="H123" s="491"/>
      <c r="I123" s="491"/>
      <c r="J123" s="468"/>
    </row>
    <row r="124" spans="1:10" x14ac:dyDescent="0.25">
      <c r="A124" s="7">
        <v>4</v>
      </c>
      <c r="B124" s="445" t="s">
        <v>165</v>
      </c>
      <c r="C124" s="446"/>
      <c r="D124" s="446"/>
      <c r="E124" s="446"/>
      <c r="F124" s="446"/>
      <c r="G124" s="446"/>
      <c r="H124" s="446"/>
      <c r="I124" s="447"/>
      <c r="J124" s="50" t="s">
        <v>15</v>
      </c>
    </row>
    <row r="125" spans="1:10" x14ac:dyDescent="0.25">
      <c r="A125" s="52" t="s">
        <v>27</v>
      </c>
      <c r="B125" s="448" t="s">
        <v>166</v>
      </c>
      <c r="C125" s="448"/>
      <c r="D125" s="448"/>
      <c r="E125" s="448"/>
      <c r="F125" s="448"/>
      <c r="G125" s="448"/>
      <c r="H125" s="448"/>
      <c r="I125" s="448"/>
      <c r="J125" s="92">
        <f>J116</f>
        <v>480.98173144708062</v>
      </c>
    </row>
    <row r="126" spans="1:10" x14ac:dyDescent="0.25">
      <c r="A126" s="52" t="s">
        <v>162</v>
      </c>
      <c r="B126" s="448" t="s">
        <v>167</v>
      </c>
      <c r="C126" s="448"/>
      <c r="D126" s="448"/>
      <c r="E126" s="448"/>
      <c r="F126" s="448"/>
      <c r="G126" s="448"/>
      <c r="H126" s="448"/>
      <c r="I126" s="448"/>
      <c r="J126" s="92">
        <f>J121</f>
        <v>317.85000000000002</v>
      </c>
    </row>
    <row r="127" spans="1:10" x14ac:dyDescent="0.25">
      <c r="A127" s="470" t="s">
        <v>150</v>
      </c>
      <c r="B127" s="471"/>
      <c r="C127" s="471"/>
      <c r="D127" s="471"/>
      <c r="E127" s="471"/>
      <c r="F127" s="471"/>
      <c r="G127" s="471"/>
      <c r="H127" s="471"/>
      <c r="I127" s="492"/>
      <c r="J127" s="93">
        <f>J125+J126</f>
        <v>798.83173144708064</v>
      </c>
    </row>
    <row r="128" spans="1:10" x14ac:dyDescent="0.25">
      <c r="A128" s="493"/>
      <c r="B128" s="494"/>
      <c r="C128" s="494"/>
      <c r="D128" s="494"/>
      <c r="E128" s="494"/>
      <c r="F128" s="494"/>
      <c r="G128" s="494"/>
      <c r="H128" s="494"/>
      <c r="I128" s="494"/>
      <c r="J128" s="494"/>
    </row>
    <row r="129" spans="1:10" x14ac:dyDescent="0.25">
      <c r="A129" s="429" t="s">
        <v>168</v>
      </c>
      <c r="B129" s="429"/>
      <c r="C129" s="429"/>
      <c r="D129" s="429"/>
      <c r="E129" s="429"/>
      <c r="F129" s="429"/>
      <c r="G129" s="429"/>
      <c r="H129" s="429"/>
      <c r="I129" s="429"/>
      <c r="J129" s="429"/>
    </row>
    <row r="130" spans="1:10" x14ac:dyDescent="0.25">
      <c r="A130" s="7">
        <v>5</v>
      </c>
      <c r="B130" s="454" t="s">
        <v>169</v>
      </c>
      <c r="C130" s="454"/>
      <c r="D130" s="454"/>
      <c r="E130" s="454"/>
      <c r="F130" s="454"/>
      <c r="G130" s="454"/>
      <c r="H130" s="454"/>
      <c r="I130" s="454"/>
      <c r="J130" s="50" t="s">
        <v>15</v>
      </c>
    </row>
    <row r="131" spans="1:10" x14ac:dyDescent="0.25">
      <c r="A131" s="52" t="s">
        <v>23</v>
      </c>
      <c r="B131" s="448" t="s">
        <v>170</v>
      </c>
      <c r="C131" s="448"/>
      <c r="D131" s="448"/>
      <c r="E131" s="448"/>
      <c r="F131" s="448"/>
      <c r="G131" s="448"/>
      <c r="H131" s="448"/>
      <c r="I131" s="448"/>
      <c r="J131" s="12">
        <v>0</v>
      </c>
    </row>
    <row r="132" spans="1:10" x14ac:dyDescent="0.25">
      <c r="A132" s="52" t="s">
        <v>30</v>
      </c>
      <c r="B132" s="448" t="s">
        <v>171</v>
      </c>
      <c r="C132" s="448"/>
      <c r="D132" s="448"/>
      <c r="E132" s="448"/>
      <c r="F132" s="448"/>
      <c r="G132" s="448"/>
      <c r="H132" s="448"/>
      <c r="I132" s="448"/>
      <c r="J132" s="12"/>
    </row>
    <row r="133" spans="1:10" x14ac:dyDescent="0.25">
      <c r="A133" s="52" t="s">
        <v>32</v>
      </c>
      <c r="B133" s="448" t="s">
        <v>172</v>
      </c>
      <c r="C133" s="448"/>
      <c r="D133" s="448"/>
      <c r="E133" s="448"/>
      <c r="F133" s="448"/>
      <c r="G133" s="448"/>
      <c r="H133" s="448"/>
      <c r="I133" s="448"/>
      <c r="J133" s="12"/>
    </row>
    <row r="134" spans="1:10" x14ac:dyDescent="0.25">
      <c r="A134" s="52" t="s">
        <v>25</v>
      </c>
      <c r="B134" s="448" t="s">
        <v>173</v>
      </c>
      <c r="C134" s="448"/>
      <c r="D134" s="448"/>
      <c r="E134" s="448"/>
      <c r="F134" s="448"/>
      <c r="G134" s="448"/>
      <c r="H134" s="448"/>
      <c r="I134" s="448"/>
      <c r="J134" s="12"/>
    </row>
    <row r="135" spans="1:10" x14ac:dyDescent="0.25">
      <c r="A135" s="52"/>
      <c r="B135" s="454" t="s">
        <v>57</v>
      </c>
      <c r="C135" s="454"/>
      <c r="D135" s="454"/>
      <c r="E135" s="454"/>
      <c r="F135" s="454"/>
      <c r="G135" s="454"/>
      <c r="H135" s="454"/>
      <c r="I135" s="454"/>
      <c r="J135" s="68">
        <f>SUM(J131:J134)</f>
        <v>0</v>
      </c>
    </row>
    <row r="136" spans="1:10" x14ac:dyDescent="0.25">
      <c r="A136" s="495"/>
      <c r="B136" s="496"/>
      <c r="C136" s="496"/>
      <c r="D136" s="496"/>
      <c r="E136" s="496"/>
      <c r="F136" s="496"/>
      <c r="G136" s="496"/>
      <c r="H136" s="496"/>
      <c r="I136" s="496"/>
      <c r="J136" s="496"/>
    </row>
    <row r="137" spans="1:10" ht="20.25" customHeight="1" x14ac:dyDescent="0.25">
      <c r="A137" s="459" t="s">
        <v>174</v>
      </c>
      <c r="B137" s="459"/>
      <c r="C137" s="459"/>
      <c r="D137" s="459"/>
      <c r="E137" s="459"/>
      <c r="F137" s="459"/>
      <c r="G137" s="459"/>
      <c r="H137" s="459"/>
      <c r="I137" s="459"/>
      <c r="J137" s="459"/>
    </row>
    <row r="138" spans="1:10" x14ac:dyDescent="0.25">
      <c r="A138" s="497"/>
      <c r="B138" s="460"/>
      <c r="C138" s="460"/>
      <c r="D138" s="460"/>
      <c r="E138" s="460"/>
      <c r="F138" s="460"/>
      <c r="G138" s="460"/>
      <c r="H138" s="460"/>
      <c r="I138" s="460"/>
      <c r="J138" s="460"/>
    </row>
    <row r="139" spans="1:10" x14ac:dyDescent="0.25">
      <c r="A139" s="436" t="s">
        <v>175</v>
      </c>
      <c r="B139" s="437"/>
      <c r="C139" s="437"/>
      <c r="D139" s="437"/>
      <c r="E139" s="437"/>
      <c r="F139" s="437"/>
      <c r="G139" s="437"/>
      <c r="H139" s="437"/>
      <c r="I139" s="437"/>
      <c r="J139" s="438"/>
    </row>
    <row r="140" spans="1:10" x14ac:dyDescent="0.25">
      <c r="A140" s="87">
        <v>6</v>
      </c>
      <c r="B140" s="498" t="s">
        <v>39</v>
      </c>
      <c r="C140" s="498"/>
      <c r="D140" s="498"/>
      <c r="E140" s="498"/>
      <c r="F140" s="498"/>
      <c r="G140" s="498"/>
      <c r="H140" s="498"/>
      <c r="I140" s="7" t="s">
        <v>176</v>
      </c>
      <c r="J140" s="50" t="s">
        <v>15</v>
      </c>
    </row>
    <row r="141" spans="1:10" x14ac:dyDescent="0.25">
      <c r="A141" s="52" t="s">
        <v>23</v>
      </c>
      <c r="B141" s="501" t="s">
        <v>41</v>
      </c>
      <c r="C141" s="501"/>
      <c r="D141" s="501"/>
      <c r="E141" s="501"/>
      <c r="F141" s="501"/>
      <c r="G141" s="501"/>
      <c r="H141" s="501"/>
      <c r="I141" s="340">
        <f>'Media de custo com mão de o (2)'!M16</f>
        <v>5.6599999999999998E-2</v>
      </c>
      <c r="J141" s="74">
        <f>I141*J163</f>
        <v>378.89904947925322</v>
      </c>
    </row>
    <row r="142" spans="1:10" x14ac:dyDescent="0.25">
      <c r="A142" s="52" t="s">
        <v>42</v>
      </c>
      <c r="B142" s="486" t="s">
        <v>43</v>
      </c>
      <c r="C142" s="501"/>
      <c r="D142" s="501"/>
      <c r="E142" s="501"/>
      <c r="F142" s="501"/>
      <c r="G142" s="501"/>
      <c r="H142" s="501"/>
      <c r="I142" s="340">
        <f>'Media de custo com mão de o (2)'!M17</f>
        <v>5.8999999999999997E-2</v>
      </c>
      <c r="J142" s="74">
        <f>(J163+J141)*I142</f>
        <v>417.32048418916884</v>
      </c>
    </row>
    <row r="143" spans="1:10" x14ac:dyDescent="0.25">
      <c r="A143" s="52" t="s">
        <v>32</v>
      </c>
      <c r="B143" s="501" t="s">
        <v>177</v>
      </c>
      <c r="C143" s="501"/>
      <c r="D143" s="501"/>
      <c r="E143" s="501"/>
      <c r="F143" s="501"/>
      <c r="G143" s="501"/>
      <c r="H143" s="501"/>
      <c r="I143" s="57"/>
      <c r="J143" s="96"/>
    </row>
    <row r="144" spans="1:10" x14ac:dyDescent="0.25">
      <c r="A144" s="52"/>
      <c r="B144" s="486" t="s">
        <v>178</v>
      </c>
      <c r="C144" s="486"/>
      <c r="D144" s="486"/>
      <c r="E144" s="486"/>
      <c r="F144" s="486"/>
      <c r="G144" s="486"/>
      <c r="H144" s="486"/>
      <c r="I144" s="57"/>
      <c r="J144" s="74"/>
    </row>
    <row r="145" spans="1:10" x14ac:dyDescent="0.25">
      <c r="A145" s="52"/>
      <c r="B145" s="502" t="s">
        <v>179</v>
      </c>
      <c r="C145" s="503"/>
      <c r="D145" s="503"/>
      <c r="E145" s="503"/>
      <c r="F145" s="503"/>
      <c r="G145" s="503"/>
      <c r="H145" s="504"/>
      <c r="I145" s="97">
        <v>0.03</v>
      </c>
      <c r="J145" s="74">
        <f>I145*$J$165</f>
        <v>245.99504202851566</v>
      </c>
    </row>
    <row r="146" spans="1:10" x14ac:dyDescent="0.25">
      <c r="A146" s="52"/>
      <c r="B146" s="502" t="s">
        <v>180</v>
      </c>
      <c r="C146" s="503"/>
      <c r="D146" s="503"/>
      <c r="E146" s="503"/>
      <c r="F146" s="503"/>
      <c r="G146" s="503"/>
      <c r="H146" s="504"/>
      <c r="I146" s="97">
        <v>6.4999999999999997E-3</v>
      </c>
      <c r="J146" s="74">
        <f>I146*$J$165</f>
        <v>53.298925772845053</v>
      </c>
    </row>
    <row r="147" spans="1:10" x14ac:dyDescent="0.25">
      <c r="A147" s="52"/>
      <c r="B147" s="486" t="s">
        <v>181</v>
      </c>
      <c r="C147" s="486"/>
      <c r="D147" s="486"/>
      <c r="E147" s="486"/>
      <c r="F147" s="486"/>
      <c r="G147" s="486"/>
      <c r="H147" s="486"/>
      <c r="I147" s="58"/>
      <c r="J147" s="74"/>
    </row>
    <row r="148" spans="1:10" x14ac:dyDescent="0.25">
      <c r="A148" s="52"/>
      <c r="B148" s="500" t="s">
        <v>182</v>
      </c>
      <c r="C148" s="500"/>
      <c r="D148" s="500"/>
      <c r="E148" s="500"/>
      <c r="F148" s="500"/>
      <c r="G148" s="500"/>
      <c r="H148" s="500"/>
      <c r="I148" s="99"/>
      <c r="J148" s="74"/>
    </row>
    <row r="149" spans="1:10" x14ac:dyDescent="0.25">
      <c r="A149" s="52"/>
      <c r="B149" s="430" t="s">
        <v>183</v>
      </c>
      <c r="C149" s="431"/>
      <c r="D149" s="431"/>
      <c r="E149" s="431"/>
      <c r="F149" s="431"/>
      <c r="G149" s="431"/>
      <c r="H149" s="432"/>
      <c r="I149" s="100">
        <v>0.05</v>
      </c>
      <c r="J149" s="74">
        <f t="shared" ref="J149" si="3">I149*$J$165</f>
        <v>409.99173671419277</v>
      </c>
    </row>
    <row r="150" spans="1:10" x14ac:dyDescent="0.25">
      <c r="A150" s="52"/>
      <c r="B150" s="454" t="s">
        <v>57</v>
      </c>
      <c r="C150" s="454"/>
      <c r="D150" s="454"/>
      <c r="E150" s="454"/>
      <c r="F150" s="454"/>
      <c r="G150" s="454"/>
      <c r="H150" s="454"/>
      <c r="I150" s="57"/>
      <c r="J150" s="12">
        <f>SUM(J141:J149)</f>
        <v>1505.5052381839755</v>
      </c>
    </row>
    <row r="151" spans="1:10" x14ac:dyDescent="0.25">
      <c r="A151" s="496"/>
      <c r="B151" s="496"/>
      <c r="C151" s="496"/>
      <c r="D151" s="496"/>
      <c r="E151" s="496"/>
      <c r="F151" s="496"/>
      <c r="G151" s="496"/>
      <c r="H151" s="496"/>
      <c r="I151" s="496"/>
      <c r="J151" s="496"/>
    </row>
    <row r="152" spans="1:10" x14ac:dyDescent="0.25">
      <c r="A152" s="459" t="s">
        <v>184</v>
      </c>
      <c r="B152" s="459"/>
      <c r="C152" s="459"/>
      <c r="D152" s="459"/>
      <c r="E152" s="459"/>
      <c r="F152" s="459"/>
      <c r="G152" s="459"/>
      <c r="H152" s="459"/>
      <c r="I152" s="459"/>
      <c r="J152" s="459"/>
    </row>
    <row r="153" spans="1:10" x14ac:dyDescent="0.25">
      <c r="A153" s="459" t="s">
        <v>185</v>
      </c>
      <c r="B153" s="459"/>
      <c r="C153" s="459"/>
      <c r="D153" s="459"/>
      <c r="E153" s="459"/>
      <c r="F153" s="459"/>
      <c r="G153" s="459"/>
      <c r="H153" s="459"/>
      <c r="I153" s="459"/>
      <c r="J153" s="459"/>
    </row>
    <row r="154" spans="1:10" x14ac:dyDescent="0.25">
      <c r="A154" s="496"/>
      <c r="B154" s="496"/>
      <c r="C154" s="496"/>
      <c r="D154" s="496"/>
      <c r="E154" s="496"/>
      <c r="F154" s="496"/>
      <c r="G154" s="496"/>
      <c r="H154" s="496"/>
      <c r="I154" s="496"/>
      <c r="J154" s="496"/>
    </row>
    <row r="155" spans="1:10" x14ac:dyDescent="0.25">
      <c r="A155" s="496"/>
      <c r="B155" s="496"/>
      <c r="C155" s="496"/>
      <c r="D155" s="496"/>
      <c r="E155" s="496"/>
      <c r="F155" s="496"/>
      <c r="G155" s="496"/>
      <c r="H155" s="496"/>
      <c r="I155" s="496"/>
      <c r="J155" s="496"/>
    </row>
    <row r="156" spans="1:10" x14ac:dyDescent="0.25">
      <c r="A156" s="465" t="s">
        <v>186</v>
      </c>
      <c r="B156" s="465"/>
      <c r="C156" s="465"/>
      <c r="D156" s="465"/>
      <c r="E156" s="465"/>
      <c r="F156" s="465"/>
      <c r="G156" s="465"/>
      <c r="H156" s="465"/>
      <c r="I156" s="465"/>
      <c r="J156" s="465"/>
    </row>
    <row r="157" spans="1:10" x14ac:dyDescent="0.25">
      <c r="A157" s="7">
        <v>2</v>
      </c>
      <c r="B157" s="441"/>
      <c r="C157" s="441"/>
      <c r="D157" s="441"/>
      <c r="E157" s="441"/>
      <c r="F157" s="441"/>
      <c r="G157" s="441"/>
      <c r="H157" s="441"/>
      <c r="I157" s="441"/>
      <c r="J157" s="50" t="s">
        <v>15</v>
      </c>
    </row>
    <row r="158" spans="1:10" x14ac:dyDescent="0.25">
      <c r="A158" s="52" t="s">
        <v>23</v>
      </c>
      <c r="B158" s="448" t="s">
        <v>187</v>
      </c>
      <c r="C158" s="448"/>
      <c r="D158" s="448"/>
      <c r="E158" s="448"/>
      <c r="F158" s="448"/>
      <c r="G158" s="448"/>
      <c r="H158" s="448"/>
      <c r="I158" s="448"/>
      <c r="J158" s="74">
        <f>J36</f>
        <v>3107.9619999999995</v>
      </c>
    </row>
    <row r="159" spans="1:10" x14ac:dyDescent="0.25">
      <c r="A159" s="52" t="s">
        <v>30</v>
      </c>
      <c r="B159" s="448" t="s">
        <v>109</v>
      </c>
      <c r="C159" s="448"/>
      <c r="D159" s="448"/>
      <c r="E159" s="448"/>
      <c r="F159" s="448"/>
      <c r="G159" s="448"/>
      <c r="H159" s="448"/>
      <c r="I159" s="448"/>
      <c r="J159" s="74">
        <f>J89</f>
        <v>2566.6367439103997</v>
      </c>
    </row>
    <row r="160" spans="1:10" x14ac:dyDescent="0.25">
      <c r="A160" s="52" t="s">
        <v>32</v>
      </c>
      <c r="B160" s="448" t="s">
        <v>151</v>
      </c>
      <c r="C160" s="448"/>
      <c r="D160" s="448"/>
      <c r="E160" s="448"/>
      <c r="F160" s="448"/>
      <c r="G160" s="448"/>
      <c r="H160" s="448"/>
      <c r="I160" s="448"/>
      <c r="J160" s="74">
        <f>J100</f>
        <v>220.89902074239998</v>
      </c>
    </row>
    <row r="161" spans="1:12" x14ac:dyDescent="0.25">
      <c r="A161" s="52" t="s">
        <v>25</v>
      </c>
      <c r="B161" s="448" t="s">
        <v>158</v>
      </c>
      <c r="C161" s="448"/>
      <c r="D161" s="448"/>
      <c r="E161" s="448"/>
      <c r="F161" s="448"/>
      <c r="G161" s="448"/>
      <c r="H161" s="448"/>
      <c r="I161" s="448"/>
      <c r="J161" s="74">
        <f>J127</f>
        <v>798.83173144708064</v>
      </c>
    </row>
    <row r="162" spans="1:12" x14ac:dyDescent="0.25">
      <c r="A162" s="52" t="s">
        <v>20</v>
      </c>
      <c r="B162" s="455" t="s">
        <v>188</v>
      </c>
      <c r="C162" s="448"/>
      <c r="D162" s="448"/>
      <c r="E162" s="448"/>
      <c r="F162" s="448"/>
      <c r="G162" s="448"/>
      <c r="H162" s="448"/>
      <c r="I162" s="448"/>
      <c r="J162" s="74">
        <f>J135</f>
        <v>0</v>
      </c>
    </row>
    <row r="163" spans="1:12" x14ac:dyDescent="0.25">
      <c r="A163" s="454" t="s">
        <v>189</v>
      </c>
      <c r="B163" s="454"/>
      <c r="C163" s="454"/>
      <c r="D163" s="454"/>
      <c r="E163" s="454"/>
      <c r="F163" s="454"/>
      <c r="G163" s="454"/>
      <c r="H163" s="454"/>
      <c r="I163" s="454"/>
      <c r="J163" s="75">
        <f>SUM(J158:J162)</f>
        <v>6694.3294960998801</v>
      </c>
    </row>
    <row r="164" spans="1:12" x14ac:dyDescent="0.25">
      <c r="A164" s="52" t="s">
        <v>37</v>
      </c>
      <c r="B164" s="448" t="s">
        <v>190</v>
      </c>
      <c r="C164" s="448"/>
      <c r="D164" s="448"/>
      <c r="E164" s="448"/>
      <c r="F164" s="448"/>
      <c r="G164" s="448"/>
      <c r="H164" s="448"/>
      <c r="I164" s="448"/>
      <c r="J164" s="74">
        <f>J150</f>
        <v>1505.5052381839755</v>
      </c>
      <c r="K164" s="53"/>
      <c r="L164" s="53"/>
    </row>
    <row r="165" spans="1:12" x14ac:dyDescent="0.25">
      <c r="A165" s="466" t="s">
        <v>191</v>
      </c>
      <c r="B165" s="481"/>
      <c r="C165" s="481"/>
      <c r="D165" s="481"/>
      <c r="E165" s="481"/>
      <c r="F165" s="481"/>
      <c r="G165" s="481"/>
      <c r="H165" s="481"/>
      <c r="I165" s="505"/>
      <c r="J165" s="101">
        <f>(J141+J142+J163)/0.9135</f>
        <v>8199.8347342838551</v>
      </c>
    </row>
    <row r="166" spans="1:12" hidden="1" x14ac:dyDescent="0.25">
      <c r="A166" s="506"/>
      <c r="B166" s="506"/>
      <c r="C166" s="506"/>
      <c r="D166" s="506"/>
      <c r="E166" s="506"/>
      <c r="F166" s="506"/>
      <c r="G166" s="506"/>
      <c r="H166" s="506"/>
      <c r="I166" s="506"/>
      <c r="J166" s="506"/>
    </row>
    <row r="167" spans="1:12" hidden="1" x14ac:dyDescent="0.25">
      <c r="A167" s="429" t="s">
        <v>192</v>
      </c>
      <c r="B167" s="429"/>
      <c r="C167" s="429"/>
      <c r="D167" s="429"/>
      <c r="E167" s="429"/>
      <c r="F167" s="429"/>
      <c r="G167" s="429"/>
      <c r="H167" s="429"/>
      <c r="I167" s="429"/>
      <c r="J167" s="429"/>
    </row>
    <row r="168" spans="1:12" ht="48" hidden="1" customHeight="1" x14ac:dyDescent="0.25">
      <c r="A168" s="405" t="s">
        <v>193</v>
      </c>
      <c r="B168" s="405"/>
      <c r="C168" s="405"/>
      <c r="D168" s="405" t="s">
        <v>194</v>
      </c>
      <c r="E168" s="405"/>
      <c r="F168" s="102" t="s">
        <v>195</v>
      </c>
      <c r="G168" s="405" t="s">
        <v>196</v>
      </c>
      <c r="H168" s="405"/>
      <c r="I168" s="102" t="s">
        <v>197</v>
      </c>
      <c r="J168" s="102" t="s">
        <v>198</v>
      </c>
    </row>
    <row r="169" spans="1:12" ht="32.25" hidden="1" customHeight="1" x14ac:dyDescent="0.25">
      <c r="A169" s="405" t="s">
        <v>199</v>
      </c>
      <c r="B169" s="405"/>
      <c r="C169" s="405"/>
      <c r="D169" s="405" t="s">
        <v>200</v>
      </c>
      <c r="E169" s="405"/>
      <c r="F169" s="102" t="s">
        <v>201</v>
      </c>
      <c r="G169" s="405" t="s">
        <v>202</v>
      </c>
      <c r="H169" s="405"/>
      <c r="I169" s="102" t="s">
        <v>203</v>
      </c>
      <c r="J169" s="102" t="s">
        <v>204</v>
      </c>
    </row>
    <row r="170" spans="1:12" s="45" customFormat="1" ht="92.25" hidden="1" customHeight="1" x14ac:dyDescent="0.25">
      <c r="A170" s="104" t="s">
        <v>205</v>
      </c>
      <c r="B170" s="409" t="str">
        <f>A13</f>
        <v xml:space="preserve">Supervisor/encarregado/chefia de campo de vigilância - 12xr 36 Diurno
</v>
      </c>
      <c r="C170" s="409"/>
      <c r="D170" s="410">
        <f>J165</f>
        <v>8199.8347342838551</v>
      </c>
      <c r="E170" s="409"/>
      <c r="F170" s="104">
        <v>2</v>
      </c>
      <c r="G170" s="411">
        <f>D170*F170</f>
        <v>16399.66946856771</v>
      </c>
      <c r="H170" s="412"/>
      <c r="I170" s="104">
        <v>5</v>
      </c>
      <c r="J170" s="105">
        <f>G170*I170</f>
        <v>81998.347342838548</v>
      </c>
    </row>
    <row r="171" spans="1:12" x14ac:dyDescent="0.25">
      <c r="A171" s="600" t="s">
        <v>381</v>
      </c>
      <c r="B171" s="600"/>
      <c r="C171" s="600"/>
      <c r="D171" s="600"/>
      <c r="E171" s="600"/>
      <c r="F171" s="600"/>
      <c r="G171" s="600"/>
      <c r="H171" s="600"/>
      <c r="I171" s="600"/>
      <c r="J171" s="398">
        <f>J165/40</f>
        <v>204.99586835709638</v>
      </c>
    </row>
    <row r="176" spans="1:12" x14ac:dyDescent="0.25">
      <c r="C176" s="132"/>
    </row>
    <row r="177" spans="3:3" x14ac:dyDescent="0.25">
      <c r="C177" s="132"/>
    </row>
    <row r="181" spans="3:3" x14ac:dyDescent="0.25">
      <c r="C181" s="132"/>
    </row>
    <row r="182" spans="3:3" x14ac:dyDescent="0.25">
      <c r="C182" s="132"/>
    </row>
  </sheetData>
  <mergeCells count="191">
    <mergeCell ref="A171:I171"/>
    <mergeCell ref="A1:J1"/>
    <mergeCell ref="A2:J2"/>
    <mergeCell ref="A3:J3"/>
    <mergeCell ref="A4:J4"/>
    <mergeCell ref="A5:J5"/>
    <mergeCell ref="B6:F6"/>
    <mergeCell ref="G6:J6"/>
    <mergeCell ref="A10:J10"/>
    <mergeCell ref="A11:J11"/>
    <mergeCell ref="A12:G12"/>
    <mergeCell ref="H12:I12"/>
    <mergeCell ref="A13:G13"/>
    <mergeCell ref="H13:I13"/>
    <mergeCell ref="B7:F7"/>
    <mergeCell ref="G7:J7"/>
    <mergeCell ref="B8:F8"/>
    <mergeCell ref="G8:J8"/>
    <mergeCell ref="B9:F9"/>
    <mergeCell ref="G9:J9"/>
    <mergeCell ref="B20:G20"/>
    <mergeCell ref="H20:J20"/>
    <mergeCell ref="B21:G21"/>
    <mergeCell ref="H21:J21"/>
    <mergeCell ref="B22:G22"/>
    <mergeCell ref="H22:J22"/>
    <mergeCell ref="A14:J14"/>
    <mergeCell ref="A15:J15"/>
    <mergeCell ref="A16:J16"/>
    <mergeCell ref="A17:J17"/>
    <mergeCell ref="A18:J18"/>
    <mergeCell ref="B19:G19"/>
    <mergeCell ref="H19:J19"/>
    <mergeCell ref="B26:G26"/>
    <mergeCell ref="H26:J26"/>
    <mergeCell ref="B27:G27"/>
    <mergeCell ref="H27:J27"/>
    <mergeCell ref="B28:G28"/>
    <mergeCell ref="H28:J28"/>
    <mergeCell ref="B23:G23"/>
    <mergeCell ref="H23:J23"/>
    <mergeCell ref="B24:G24"/>
    <mergeCell ref="H24:J24"/>
    <mergeCell ref="B25:G25"/>
    <mergeCell ref="H25:J25"/>
    <mergeCell ref="B36:I36"/>
    <mergeCell ref="A37:J37"/>
    <mergeCell ref="A38:J38"/>
    <mergeCell ref="A39:J39"/>
    <mergeCell ref="A40:J40"/>
    <mergeCell ref="A41:J41"/>
    <mergeCell ref="A29:J29"/>
    <mergeCell ref="A31:J31"/>
    <mergeCell ref="B32:I32"/>
    <mergeCell ref="B33:I33"/>
    <mergeCell ref="B34:I34"/>
    <mergeCell ref="B35:I35"/>
    <mergeCell ref="A49:J49"/>
    <mergeCell ref="A50:J50"/>
    <mergeCell ref="A51:J51"/>
    <mergeCell ref="A52:J52"/>
    <mergeCell ref="A53:J53"/>
    <mergeCell ref="B54:H54"/>
    <mergeCell ref="A43:J43"/>
    <mergeCell ref="B44:I44"/>
    <mergeCell ref="B45:H45"/>
    <mergeCell ref="B46:H46"/>
    <mergeCell ref="A47:H47"/>
    <mergeCell ref="A48:J48"/>
    <mergeCell ref="B61:H61"/>
    <mergeCell ref="B62:H62"/>
    <mergeCell ref="A63:H63"/>
    <mergeCell ref="A64:J64"/>
    <mergeCell ref="A65:J65"/>
    <mergeCell ref="A66:J66"/>
    <mergeCell ref="B55:H55"/>
    <mergeCell ref="B56:H56"/>
    <mergeCell ref="B57:H57"/>
    <mergeCell ref="B58:H58"/>
    <mergeCell ref="B59:H59"/>
    <mergeCell ref="B60:H60"/>
    <mergeCell ref="B73:I73"/>
    <mergeCell ref="B74:I74"/>
    <mergeCell ref="B75:I75"/>
    <mergeCell ref="B78:I78"/>
    <mergeCell ref="A79:J79"/>
    <mergeCell ref="A80:J80"/>
    <mergeCell ref="A67:J67"/>
    <mergeCell ref="A68:J68"/>
    <mergeCell ref="A69:J69"/>
    <mergeCell ref="B70:I70"/>
    <mergeCell ref="B71:I71"/>
    <mergeCell ref="B72:I72"/>
    <mergeCell ref="B76:I76"/>
    <mergeCell ref="B77:I77"/>
    <mergeCell ref="B87:I87"/>
    <mergeCell ref="B88:I88"/>
    <mergeCell ref="B89:I89"/>
    <mergeCell ref="A90:J90"/>
    <mergeCell ref="A91:J91"/>
    <mergeCell ref="A92:J92"/>
    <mergeCell ref="A81:J81"/>
    <mergeCell ref="A82:J82"/>
    <mergeCell ref="A83:J83"/>
    <mergeCell ref="A84:J84"/>
    <mergeCell ref="B85:I85"/>
    <mergeCell ref="B86:I86"/>
    <mergeCell ref="B99:H99"/>
    <mergeCell ref="B100:H100"/>
    <mergeCell ref="A101:J101"/>
    <mergeCell ref="A102:J102"/>
    <mergeCell ref="A103:J103"/>
    <mergeCell ref="A104:J104"/>
    <mergeCell ref="B93:H93"/>
    <mergeCell ref="B94:H94"/>
    <mergeCell ref="B95:H95"/>
    <mergeCell ref="B96:H96"/>
    <mergeCell ref="B97:H97"/>
    <mergeCell ref="B98:H98"/>
    <mergeCell ref="B111:H111"/>
    <mergeCell ref="B112:H112"/>
    <mergeCell ref="B113:H113"/>
    <mergeCell ref="B114:H114"/>
    <mergeCell ref="B115:H115"/>
    <mergeCell ref="A116:I116"/>
    <mergeCell ref="A105:J105"/>
    <mergeCell ref="A106:J106"/>
    <mergeCell ref="A107:J107"/>
    <mergeCell ref="A108:J108"/>
    <mergeCell ref="B109:H109"/>
    <mergeCell ref="B110:H110"/>
    <mergeCell ref="A123:J123"/>
    <mergeCell ref="B124:I124"/>
    <mergeCell ref="B125:I125"/>
    <mergeCell ref="B126:I126"/>
    <mergeCell ref="A127:I127"/>
    <mergeCell ref="A128:J128"/>
    <mergeCell ref="A117:J117"/>
    <mergeCell ref="A118:J118"/>
    <mergeCell ref="B119:H119"/>
    <mergeCell ref="B120:H120"/>
    <mergeCell ref="A121:H121"/>
    <mergeCell ref="A122:J122"/>
    <mergeCell ref="B135:I135"/>
    <mergeCell ref="A136:J136"/>
    <mergeCell ref="A137:J137"/>
    <mergeCell ref="A138:J138"/>
    <mergeCell ref="A139:J139"/>
    <mergeCell ref="B140:H140"/>
    <mergeCell ref="A129:J129"/>
    <mergeCell ref="B130:I130"/>
    <mergeCell ref="B131:I131"/>
    <mergeCell ref="B132:I132"/>
    <mergeCell ref="B133:I133"/>
    <mergeCell ref="B134:I134"/>
    <mergeCell ref="B147:H147"/>
    <mergeCell ref="B148:H148"/>
    <mergeCell ref="B149:H149"/>
    <mergeCell ref="B150:H150"/>
    <mergeCell ref="A151:J151"/>
    <mergeCell ref="A152:J152"/>
    <mergeCell ref="B141:H141"/>
    <mergeCell ref="B142:H142"/>
    <mergeCell ref="B143:H143"/>
    <mergeCell ref="B144:H144"/>
    <mergeCell ref="B145:H145"/>
    <mergeCell ref="B146:H146"/>
    <mergeCell ref="B159:I159"/>
    <mergeCell ref="B160:I160"/>
    <mergeCell ref="B161:I161"/>
    <mergeCell ref="B162:I162"/>
    <mergeCell ref="A163:I163"/>
    <mergeCell ref="B164:I164"/>
    <mergeCell ref="A153:J153"/>
    <mergeCell ref="A154:J154"/>
    <mergeCell ref="A155:J155"/>
    <mergeCell ref="A156:J156"/>
    <mergeCell ref="B157:I157"/>
    <mergeCell ref="B158:I158"/>
    <mergeCell ref="A169:C169"/>
    <mergeCell ref="D169:E169"/>
    <mergeCell ref="G169:H169"/>
    <mergeCell ref="B170:C170"/>
    <mergeCell ref="D170:E170"/>
    <mergeCell ref="G170:H170"/>
    <mergeCell ref="A165:I165"/>
    <mergeCell ref="A166:J166"/>
    <mergeCell ref="A167:J167"/>
    <mergeCell ref="A168:C168"/>
    <mergeCell ref="D168:E168"/>
    <mergeCell ref="G168:H168"/>
  </mergeCells>
  <pageMargins left="0.511811024" right="0.511811024" top="0.78740157499999996" bottom="0.78740157499999996" header="0.31496062000000002" footer="0.31496062000000002"/>
  <pageSetup paperSize="9" scale="68" orientation="portrait" r:id="rId1"/>
  <rowBreaks count="2" manualBreakCount="2">
    <brk id="52" max="9" man="1"/>
    <brk id="107" max="9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72"/>
  <sheetViews>
    <sheetView view="pageBreakPreview" topLeftCell="A133" zoomScaleNormal="100" zoomScaleSheetLayoutView="100" workbookViewId="0">
      <selection activeCell="A166" sqref="A166:I166"/>
    </sheetView>
  </sheetViews>
  <sheetFormatPr defaultRowHeight="15" x14ac:dyDescent="0.25"/>
  <cols>
    <col min="1" max="1" width="7.5703125" customWidth="1"/>
    <col min="2" max="2" width="10.28515625" customWidth="1"/>
    <col min="3" max="3" width="22.85546875" customWidth="1"/>
    <col min="4" max="4" width="11.7109375" customWidth="1"/>
    <col min="5" max="5" width="11.140625" customWidth="1"/>
    <col min="6" max="6" width="13.42578125" customWidth="1"/>
    <col min="7" max="7" width="10.7109375" customWidth="1"/>
    <col min="8" max="8" width="8" customWidth="1"/>
    <col min="9" max="9" width="17.140625" customWidth="1"/>
    <col min="10" max="10" width="21.5703125" style="17" customWidth="1"/>
  </cols>
  <sheetData>
    <row r="1" spans="1:10" x14ac:dyDescent="0.25">
      <c r="A1" s="421" t="s">
        <v>70</v>
      </c>
      <c r="B1" s="421"/>
      <c r="C1" s="421"/>
      <c r="D1" s="421"/>
      <c r="E1" s="421"/>
      <c r="F1" s="421"/>
      <c r="G1" s="421"/>
      <c r="H1" s="421"/>
      <c r="I1" s="421"/>
      <c r="J1" s="421"/>
    </row>
    <row r="2" spans="1:10" s="47" customFormat="1" ht="24.6" customHeight="1" x14ac:dyDescent="0.25">
      <c r="A2" s="422" t="s">
        <v>243</v>
      </c>
      <c r="B2" s="422"/>
      <c r="C2" s="422"/>
      <c r="D2" s="422"/>
      <c r="E2" s="422"/>
      <c r="F2" s="422"/>
      <c r="G2" s="422"/>
      <c r="H2" s="422"/>
      <c r="I2" s="422"/>
      <c r="J2" s="422"/>
    </row>
    <row r="3" spans="1:10" ht="24.6" customHeight="1" x14ac:dyDescent="0.25">
      <c r="A3" s="423" t="s">
        <v>71</v>
      </c>
      <c r="B3" s="424"/>
      <c r="C3" s="424"/>
      <c r="D3" s="424"/>
      <c r="E3" s="424"/>
      <c r="F3" s="424"/>
      <c r="G3" s="424"/>
      <c r="H3" s="424"/>
      <c r="I3" s="424"/>
      <c r="J3" s="425"/>
    </row>
    <row r="4" spans="1:10" ht="22.15" customHeight="1" x14ac:dyDescent="0.25">
      <c r="A4" s="426"/>
      <c r="B4" s="427"/>
      <c r="C4" s="427"/>
      <c r="D4" s="427"/>
      <c r="E4" s="427"/>
      <c r="F4" s="427"/>
      <c r="G4" s="427"/>
      <c r="H4" s="427"/>
      <c r="I4" s="427"/>
      <c r="J4" s="428"/>
    </row>
    <row r="5" spans="1:10" x14ac:dyDescent="0.25">
      <c r="A5" s="429" t="s">
        <v>72</v>
      </c>
      <c r="B5" s="429"/>
      <c r="C5" s="429"/>
      <c r="D5" s="429"/>
      <c r="E5" s="429"/>
      <c r="F5" s="429"/>
      <c r="G5" s="429"/>
      <c r="H5" s="429"/>
      <c r="I5" s="429"/>
      <c r="J5" s="429"/>
    </row>
    <row r="6" spans="1:10" x14ac:dyDescent="0.25">
      <c r="A6" s="49" t="s">
        <v>23</v>
      </c>
      <c r="B6" s="430" t="s">
        <v>73</v>
      </c>
      <c r="C6" s="431"/>
      <c r="D6" s="431"/>
      <c r="E6" s="431"/>
      <c r="F6" s="432"/>
      <c r="G6" s="433">
        <v>43972</v>
      </c>
      <c r="H6" s="434"/>
      <c r="I6" s="434"/>
      <c r="J6" s="435"/>
    </row>
    <row r="7" spans="1:10" x14ac:dyDescent="0.25">
      <c r="A7" s="49" t="s">
        <v>30</v>
      </c>
      <c r="B7" s="442" t="s">
        <v>74</v>
      </c>
      <c r="C7" s="443"/>
      <c r="D7" s="443"/>
      <c r="E7" s="443"/>
      <c r="F7" s="444"/>
      <c r="G7" s="445" t="s">
        <v>75</v>
      </c>
      <c r="H7" s="446"/>
      <c r="I7" s="446"/>
      <c r="J7" s="447"/>
    </row>
    <row r="8" spans="1:10" x14ac:dyDescent="0.25">
      <c r="A8" s="49" t="s">
        <v>32</v>
      </c>
      <c r="B8" s="442" t="s">
        <v>76</v>
      </c>
      <c r="C8" s="443"/>
      <c r="D8" s="443"/>
      <c r="E8" s="443"/>
      <c r="F8" s="444"/>
      <c r="G8" s="445" t="s">
        <v>77</v>
      </c>
      <c r="H8" s="446"/>
      <c r="I8" s="446"/>
      <c r="J8" s="447"/>
    </row>
    <row r="9" spans="1:10" x14ac:dyDescent="0.25">
      <c r="A9" s="49" t="s">
        <v>25</v>
      </c>
      <c r="B9" s="430" t="s">
        <v>78</v>
      </c>
      <c r="C9" s="431"/>
      <c r="D9" s="431"/>
      <c r="E9" s="431"/>
      <c r="F9" s="432"/>
      <c r="G9" s="445">
        <v>12</v>
      </c>
      <c r="H9" s="446"/>
      <c r="I9" s="446"/>
      <c r="J9" s="447"/>
    </row>
    <row r="10" spans="1:10" x14ac:dyDescent="0.25">
      <c r="A10" s="426"/>
      <c r="B10" s="427"/>
      <c r="C10" s="427"/>
      <c r="D10" s="427"/>
      <c r="E10" s="427"/>
      <c r="F10" s="427"/>
      <c r="G10" s="427"/>
      <c r="H10" s="427"/>
      <c r="I10" s="427"/>
      <c r="J10" s="428"/>
    </row>
    <row r="11" spans="1:10" x14ac:dyDescent="0.25">
      <c r="A11" s="436" t="s">
        <v>79</v>
      </c>
      <c r="B11" s="437"/>
      <c r="C11" s="437"/>
      <c r="D11" s="437"/>
      <c r="E11" s="437"/>
      <c r="F11" s="437"/>
      <c r="G11" s="437"/>
      <c r="H11" s="437"/>
      <c r="I11" s="437"/>
      <c r="J11" s="438"/>
    </row>
    <row r="12" spans="1:10" ht="25.5" x14ac:dyDescent="0.25">
      <c r="A12" s="439" t="s">
        <v>80</v>
      </c>
      <c r="B12" s="439"/>
      <c r="C12" s="439"/>
      <c r="D12" s="439"/>
      <c r="E12" s="439"/>
      <c r="F12" s="439"/>
      <c r="G12" s="439"/>
      <c r="H12" s="439" t="s">
        <v>81</v>
      </c>
      <c r="I12" s="439"/>
      <c r="J12" s="165" t="s">
        <v>82</v>
      </c>
    </row>
    <row r="13" spans="1:10" ht="51" customHeight="1" x14ac:dyDescent="0.25">
      <c r="A13" s="440" t="s">
        <v>386</v>
      </c>
      <c r="B13" s="440"/>
      <c r="C13" s="440"/>
      <c r="D13" s="440"/>
      <c r="E13" s="440"/>
      <c r="F13" s="440"/>
      <c r="G13" s="440"/>
      <c r="H13" s="441" t="s">
        <v>84</v>
      </c>
      <c r="I13" s="441"/>
      <c r="J13" s="162">
        <v>1</v>
      </c>
    </row>
    <row r="14" spans="1:10" x14ac:dyDescent="0.25">
      <c r="A14" s="426"/>
      <c r="B14" s="427"/>
      <c r="C14" s="427"/>
      <c r="D14" s="427"/>
      <c r="E14" s="427"/>
      <c r="F14" s="427"/>
      <c r="G14" s="427"/>
      <c r="H14" s="427"/>
      <c r="I14" s="427"/>
      <c r="J14" s="428"/>
    </row>
    <row r="15" spans="1:10" x14ac:dyDescent="0.25">
      <c r="A15" s="451" t="s">
        <v>85</v>
      </c>
      <c r="B15" s="452"/>
      <c r="C15" s="452"/>
      <c r="D15" s="452"/>
      <c r="E15" s="452"/>
      <c r="F15" s="452"/>
      <c r="G15" s="452"/>
      <c r="H15" s="452"/>
      <c r="I15" s="452"/>
      <c r="J15" s="453"/>
    </row>
    <row r="16" spans="1:10" x14ac:dyDescent="0.25">
      <c r="A16" s="430" t="s">
        <v>86</v>
      </c>
      <c r="B16" s="431"/>
      <c r="C16" s="431"/>
      <c r="D16" s="431"/>
      <c r="E16" s="431"/>
      <c r="F16" s="431"/>
      <c r="G16" s="431"/>
      <c r="H16" s="431"/>
      <c r="I16" s="431"/>
      <c r="J16" s="432"/>
    </row>
    <row r="17" spans="1:10" x14ac:dyDescent="0.25">
      <c r="A17" s="430" t="s">
        <v>87</v>
      </c>
      <c r="B17" s="431"/>
      <c r="C17" s="431"/>
      <c r="D17" s="431"/>
      <c r="E17" s="431"/>
      <c r="F17" s="431"/>
      <c r="G17" s="431"/>
      <c r="H17" s="431"/>
      <c r="I17" s="431"/>
      <c r="J17" s="432"/>
    </row>
    <row r="18" spans="1:10" x14ac:dyDescent="0.25">
      <c r="A18" s="454" t="s">
        <v>88</v>
      </c>
      <c r="B18" s="454"/>
      <c r="C18" s="454"/>
      <c r="D18" s="454"/>
      <c r="E18" s="454"/>
      <c r="F18" s="454"/>
      <c r="G18" s="454"/>
      <c r="H18" s="454"/>
      <c r="I18" s="454"/>
      <c r="J18" s="454"/>
    </row>
    <row r="19" spans="1:10" ht="61.9" customHeight="1" x14ac:dyDescent="0.25">
      <c r="A19" s="52">
        <v>1</v>
      </c>
      <c r="B19" s="448" t="s">
        <v>89</v>
      </c>
      <c r="C19" s="448"/>
      <c r="D19" s="448"/>
      <c r="E19" s="448"/>
      <c r="F19" s="448"/>
      <c r="G19" s="448"/>
      <c r="H19" s="455" t="s">
        <v>234</v>
      </c>
      <c r="I19" s="455"/>
      <c r="J19" s="455"/>
    </row>
    <row r="20" spans="1:10" ht="27.75" customHeight="1" x14ac:dyDescent="0.25">
      <c r="A20" s="52">
        <v>2</v>
      </c>
      <c r="B20" s="448" t="s">
        <v>91</v>
      </c>
      <c r="C20" s="448"/>
      <c r="D20" s="448"/>
      <c r="E20" s="448"/>
      <c r="F20" s="448"/>
      <c r="G20" s="448"/>
      <c r="H20" s="440" t="s">
        <v>92</v>
      </c>
      <c r="I20" s="440"/>
      <c r="J20" s="440"/>
    </row>
    <row r="21" spans="1:10" x14ac:dyDescent="0.25">
      <c r="A21" s="52">
        <v>3</v>
      </c>
      <c r="B21" s="448" t="s">
        <v>93</v>
      </c>
      <c r="C21" s="448"/>
      <c r="D21" s="448"/>
      <c r="E21" s="448"/>
      <c r="F21" s="448"/>
      <c r="G21" s="448"/>
      <c r="H21" s="450">
        <v>2390.7399999999998</v>
      </c>
      <c r="I21" s="450"/>
      <c r="J21" s="450"/>
    </row>
    <row r="22" spans="1:10" x14ac:dyDescent="0.25">
      <c r="A22" s="52">
        <v>4</v>
      </c>
      <c r="B22" s="448" t="s">
        <v>94</v>
      </c>
      <c r="C22" s="448"/>
      <c r="D22" s="448"/>
      <c r="E22" s="448"/>
      <c r="F22" s="448"/>
      <c r="G22" s="448"/>
      <c r="H22" s="440" t="s">
        <v>95</v>
      </c>
      <c r="I22" s="441"/>
      <c r="J22" s="441"/>
    </row>
    <row r="23" spans="1:10" x14ac:dyDescent="0.25">
      <c r="A23" s="52">
        <v>5</v>
      </c>
      <c r="B23" s="448" t="s">
        <v>96</v>
      </c>
      <c r="C23" s="448"/>
      <c r="D23" s="448"/>
      <c r="E23" s="448"/>
      <c r="F23" s="448"/>
      <c r="G23" s="448"/>
      <c r="H23" s="456">
        <v>44197</v>
      </c>
      <c r="I23" s="441"/>
      <c r="J23" s="441"/>
    </row>
    <row r="24" spans="1:10" x14ac:dyDescent="0.25">
      <c r="A24" s="52">
        <v>6</v>
      </c>
      <c r="B24" s="448" t="s">
        <v>97</v>
      </c>
      <c r="C24" s="448"/>
      <c r="D24" s="448"/>
      <c r="E24" s="448"/>
      <c r="F24" s="448"/>
      <c r="G24" s="448"/>
      <c r="H24" s="597">
        <v>13.16</v>
      </c>
      <c r="I24" s="598"/>
      <c r="J24" s="599"/>
    </row>
    <row r="25" spans="1:10" x14ac:dyDescent="0.25">
      <c r="A25" s="52">
        <v>7</v>
      </c>
      <c r="B25" s="448" t="s">
        <v>98</v>
      </c>
      <c r="C25" s="448"/>
      <c r="D25" s="448"/>
      <c r="E25" s="448"/>
      <c r="F25" s="448"/>
      <c r="G25" s="448"/>
      <c r="H25" s="597">
        <v>2.83</v>
      </c>
      <c r="I25" s="598"/>
      <c r="J25" s="599"/>
    </row>
    <row r="26" spans="1:10" x14ac:dyDescent="0.25">
      <c r="A26" s="52">
        <v>8</v>
      </c>
      <c r="B26" s="448" t="s">
        <v>99</v>
      </c>
      <c r="C26" s="448"/>
      <c r="D26" s="448"/>
      <c r="E26" s="448"/>
      <c r="F26" s="448"/>
      <c r="G26" s="448"/>
      <c r="H26" s="450">
        <v>19.739999999999998</v>
      </c>
      <c r="I26" s="450"/>
      <c r="J26" s="450"/>
    </row>
    <row r="27" spans="1:10" x14ac:dyDescent="0.25">
      <c r="A27" s="52">
        <v>9</v>
      </c>
      <c r="B27" s="430" t="s">
        <v>100</v>
      </c>
      <c r="C27" s="431"/>
      <c r="D27" s="431"/>
      <c r="E27" s="431"/>
      <c r="F27" s="431"/>
      <c r="G27" s="432"/>
      <c r="H27" s="450">
        <v>25.43</v>
      </c>
      <c r="I27" s="450"/>
      <c r="J27" s="450"/>
    </row>
    <row r="28" spans="1:10" x14ac:dyDescent="0.25">
      <c r="A28" s="52">
        <v>10</v>
      </c>
      <c r="B28" s="448" t="s">
        <v>101</v>
      </c>
      <c r="C28" s="448"/>
      <c r="D28" s="448"/>
      <c r="E28" s="448"/>
      <c r="F28" s="448"/>
      <c r="G28" s="448"/>
      <c r="H28" s="450">
        <v>26.31</v>
      </c>
      <c r="I28" s="450"/>
      <c r="J28" s="450"/>
    </row>
    <row r="29" spans="1:10" x14ac:dyDescent="0.25">
      <c r="A29" s="426"/>
      <c r="B29" s="427"/>
      <c r="C29" s="427"/>
      <c r="D29" s="427"/>
      <c r="E29" s="427"/>
      <c r="F29" s="427"/>
      <c r="G29" s="427"/>
      <c r="H29" s="427"/>
      <c r="I29" s="427"/>
      <c r="J29" s="428"/>
    </row>
    <row r="30" spans="1:10" ht="21" customHeight="1" x14ac:dyDescent="0.25">
      <c r="A30" s="54"/>
      <c r="B30" s="55"/>
      <c r="C30" s="55"/>
      <c r="D30" s="55"/>
      <c r="E30" s="55"/>
      <c r="F30" s="55"/>
      <c r="G30" s="55"/>
      <c r="H30" s="55"/>
      <c r="I30" s="55"/>
      <c r="J30" s="163"/>
    </row>
    <row r="31" spans="1:10" x14ac:dyDescent="0.25">
      <c r="A31" s="465" t="s">
        <v>102</v>
      </c>
      <c r="B31" s="465"/>
      <c r="C31" s="465"/>
      <c r="D31" s="465"/>
      <c r="E31" s="465"/>
      <c r="F31" s="465"/>
      <c r="G31" s="465"/>
      <c r="H31" s="465"/>
      <c r="I31" s="465"/>
      <c r="J31" s="466"/>
    </row>
    <row r="32" spans="1:10" x14ac:dyDescent="0.25">
      <c r="A32" s="57">
        <v>1</v>
      </c>
      <c r="B32" s="445" t="s">
        <v>103</v>
      </c>
      <c r="C32" s="446"/>
      <c r="D32" s="446"/>
      <c r="E32" s="446"/>
      <c r="F32" s="446"/>
      <c r="G32" s="446"/>
      <c r="H32" s="446"/>
      <c r="I32" s="447"/>
      <c r="J32" s="164" t="s">
        <v>15</v>
      </c>
    </row>
    <row r="33" spans="1:10" ht="18.600000000000001" customHeight="1" x14ac:dyDescent="0.25">
      <c r="A33" s="52" t="s">
        <v>23</v>
      </c>
      <c r="B33" s="430" t="s">
        <v>104</v>
      </c>
      <c r="C33" s="431"/>
      <c r="D33" s="431"/>
      <c r="E33" s="431"/>
      <c r="F33" s="431"/>
      <c r="G33" s="431"/>
      <c r="H33" s="431"/>
      <c r="I33" s="432"/>
      <c r="J33" s="58">
        <f>H21</f>
        <v>2390.7399999999998</v>
      </c>
    </row>
    <row r="34" spans="1:10" ht="18" customHeight="1" x14ac:dyDescent="0.25">
      <c r="A34" s="52" t="s">
        <v>30</v>
      </c>
      <c r="B34" s="430" t="s">
        <v>105</v>
      </c>
      <c r="C34" s="431"/>
      <c r="D34" s="431"/>
      <c r="E34" s="431"/>
      <c r="F34" s="431"/>
      <c r="G34" s="431"/>
      <c r="H34" s="431"/>
      <c r="I34" s="432"/>
      <c r="J34" s="58">
        <f>30%*J33</f>
        <v>717.22199999999987</v>
      </c>
    </row>
    <row r="35" spans="1:10" ht="18" customHeight="1" x14ac:dyDescent="0.25">
      <c r="A35" s="59" t="s">
        <v>32</v>
      </c>
      <c r="B35" s="430" t="s">
        <v>238</v>
      </c>
      <c r="C35" s="431"/>
      <c r="D35" s="431"/>
      <c r="E35" s="431"/>
      <c r="F35" s="431"/>
      <c r="G35" s="431"/>
      <c r="H35" s="431"/>
      <c r="I35" s="432"/>
      <c r="J35" s="109">
        <f>60/52.5*7*15*H25</f>
        <v>339.6</v>
      </c>
    </row>
    <row r="36" spans="1:10" ht="26.25" customHeight="1" x14ac:dyDescent="0.25">
      <c r="A36" s="59" t="s">
        <v>25</v>
      </c>
      <c r="B36" s="442" t="s">
        <v>239</v>
      </c>
      <c r="C36" s="443"/>
      <c r="D36" s="443"/>
      <c r="E36" s="443"/>
      <c r="F36" s="443"/>
      <c r="G36" s="443"/>
      <c r="H36" s="443"/>
      <c r="I36" s="444"/>
      <c r="J36" s="60">
        <f>1*H27*15</f>
        <v>381.45</v>
      </c>
    </row>
    <row r="37" spans="1:10" ht="22.5" customHeight="1" x14ac:dyDescent="0.25">
      <c r="A37" s="61" t="s">
        <v>106</v>
      </c>
      <c r="B37" s="445" t="s">
        <v>107</v>
      </c>
      <c r="C37" s="446"/>
      <c r="D37" s="446"/>
      <c r="E37" s="446"/>
      <c r="F37" s="446"/>
      <c r="G37" s="446"/>
      <c r="H37" s="446"/>
      <c r="I37" s="447"/>
      <c r="J37" s="109">
        <f>SUM(J33:J36)</f>
        <v>3829.0119999999993</v>
      </c>
    </row>
    <row r="38" spans="1:10" x14ac:dyDescent="0.25">
      <c r="A38" s="457"/>
      <c r="B38" s="458"/>
      <c r="C38" s="458"/>
      <c r="D38" s="458"/>
      <c r="E38" s="458"/>
      <c r="F38" s="458"/>
      <c r="G38" s="458"/>
      <c r="H38" s="458"/>
      <c r="I38" s="458"/>
      <c r="J38" s="458"/>
    </row>
    <row r="39" spans="1:10" x14ac:dyDescent="0.25">
      <c r="A39" s="459" t="s">
        <v>108</v>
      </c>
      <c r="B39" s="459"/>
      <c r="C39" s="459"/>
      <c r="D39" s="459"/>
      <c r="E39" s="459"/>
      <c r="F39" s="459"/>
      <c r="G39" s="459"/>
      <c r="H39" s="459"/>
      <c r="I39" s="459"/>
      <c r="J39" s="459"/>
    </row>
    <row r="40" spans="1:10" x14ac:dyDescent="0.25">
      <c r="A40" s="460"/>
      <c r="B40" s="460"/>
      <c r="C40" s="460"/>
      <c r="D40" s="460"/>
      <c r="E40" s="460"/>
      <c r="F40" s="460"/>
      <c r="G40" s="460"/>
      <c r="H40" s="460"/>
      <c r="I40" s="460"/>
      <c r="J40" s="460"/>
    </row>
    <row r="41" spans="1:10" x14ac:dyDescent="0.25">
      <c r="A41" s="461"/>
      <c r="B41" s="462"/>
      <c r="C41" s="462"/>
      <c r="D41" s="462"/>
      <c r="E41" s="462"/>
      <c r="F41" s="462"/>
      <c r="G41" s="462"/>
      <c r="H41" s="462"/>
      <c r="I41" s="462"/>
      <c r="J41" s="462"/>
    </row>
    <row r="42" spans="1:10" x14ac:dyDescent="0.25">
      <c r="A42" s="463" t="s">
        <v>109</v>
      </c>
      <c r="B42" s="463"/>
      <c r="C42" s="463"/>
      <c r="D42" s="463"/>
      <c r="E42" s="463"/>
      <c r="F42" s="463"/>
      <c r="G42" s="463"/>
      <c r="H42" s="463"/>
      <c r="I42" s="463"/>
      <c r="J42" s="464"/>
    </row>
    <row r="43" spans="1:10" x14ac:dyDescent="0.25">
      <c r="A43" s="63"/>
      <c r="B43" s="64"/>
      <c r="C43" s="64"/>
      <c r="D43" s="64"/>
      <c r="E43" s="64"/>
      <c r="F43" s="64"/>
      <c r="G43" s="64"/>
      <c r="H43" s="64"/>
      <c r="I43" s="64"/>
      <c r="J43" s="64"/>
    </row>
    <row r="44" spans="1:10" x14ac:dyDescent="0.25">
      <c r="A44" s="468" t="s">
        <v>110</v>
      </c>
      <c r="B44" s="469"/>
      <c r="C44" s="469"/>
      <c r="D44" s="469"/>
      <c r="E44" s="469"/>
      <c r="F44" s="469"/>
      <c r="G44" s="469"/>
      <c r="H44" s="469"/>
      <c r="I44" s="469"/>
      <c r="J44" s="469"/>
    </row>
    <row r="45" spans="1:10" x14ac:dyDescent="0.25">
      <c r="A45" s="7" t="s">
        <v>117</v>
      </c>
      <c r="B45" s="445" t="s">
        <v>118</v>
      </c>
      <c r="C45" s="446"/>
      <c r="D45" s="446"/>
      <c r="E45" s="446"/>
      <c r="F45" s="446"/>
      <c r="G45" s="446"/>
      <c r="H45" s="446"/>
      <c r="I45" s="447"/>
      <c r="J45" s="164" t="s">
        <v>15</v>
      </c>
    </row>
    <row r="46" spans="1:10" x14ac:dyDescent="0.25">
      <c r="A46" s="52" t="s">
        <v>23</v>
      </c>
      <c r="B46" s="430" t="s">
        <v>119</v>
      </c>
      <c r="C46" s="431"/>
      <c r="D46" s="431"/>
      <c r="E46" s="431"/>
      <c r="F46" s="431"/>
      <c r="G46" s="431"/>
      <c r="H46" s="431"/>
      <c r="I46" s="65">
        <v>8.3299999999999999E-2</v>
      </c>
      <c r="J46" s="74">
        <f>I46*J37</f>
        <v>318.95669959999992</v>
      </c>
    </row>
    <row r="47" spans="1:10" x14ac:dyDescent="0.25">
      <c r="A47" s="52" t="s">
        <v>30</v>
      </c>
      <c r="B47" s="430" t="s">
        <v>120</v>
      </c>
      <c r="C47" s="431"/>
      <c r="D47" s="431"/>
      <c r="E47" s="431"/>
      <c r="F47" s="431"/>
      <c r="G47" s="431"/>
      <c r="H47" s="431"/>
      <c r="I47" s="65">
        <v>0.1111</v>
      </c>
      <c r="J47" s="389">
        <f>I47*J37</f>
        <v>425.40323319999993</v>
      </c>
    </row>
    <row r="48" spans="1:10" x14ac:dyDescent="0.25">
      <c r="A48" s="445" t="s">
        <v>121</v>
      </c>
      <c r="B48" s="446"/>
      <c r="C48" s="446"/>
      <c r="D48" s="446"/>
      <c r="E48" s="446"/>
      <c r="F48" s="446"/>
      <c r="G48" s="446"/>
      <c r="H48" s="446"/>
      <c r="I48" s="67">
        <f>SUM(I46:I47)</f>
        <v>0.19440000000000002</v>
      </c>
      <c r="J48" s="75">
        <f>SUM(J46:J47)</f>
        <v>744.3599327999998</v>
      </c>
    </row>
    <row r="49" spans="1:10" x14ac:dyDescent="0.25">
      <c r="A49" s="470"/>
      <c r="B49" s="471"/>
      <c r="C49" s="471"/>
      <c r="D49" s="471"/>
      <c r="E49" s="471"/>
      <c r="F49" s="471"/>
      <c r="G49" s="471"/>
      <c r="H49" s="471"/>
      <c r="I49" s="471"/>
      <c r="J49" s="471"/>
    </row>
    <row r="50" spans="1:10" ht="46.5" customHeight="1" x14ac:dyDescent="0.25">
      <c r="A50" s="467" t="s">
        <v>122</v>
      </c>
      <c r="B50" s="467"/>
      <c r="C50" s="467"/>
      <c r="D50" s="467"/>
      <c r="E50" s="467"/>
      <c r="F50" s="467"/>
      <c r="G50" s="467"/>
      <c r="H50" s="467"/>
      <c r="I50" s="467"/>
      <c r="J50" s="467"/>
    </row>
    <row r="51" spans="1:10" ht="46.5" customHeight="1" x14ac:dyDescent="0.25">
      <c r="A51" s="467" t="s">
        <v>123</v>
      </c>
      <c r="B51" s="467"/>
      <c r="C51" s="467"/>
      <c r="D51" s="467"/>
      <c r="E51" s="467"/>
      <c r="F51" s="467"/>
      <c r="G51" s="467"/>
      <c r="H51" s="467"/>
      <c r="I51" s="467"/>
      <c r="J51" s="467"/>
    </row>
    <row r="52" spans="1:10" ht="46.5" customHeight="1" x14ac:dyDescent="0.25">
      <c r="A52" s="467" t="s">
        <v>124</v>
      </c>
      <c r="B52" s="467"/>
      <c r="C52" s="467"/>
      <c r="D52" s="467"/>
      <c r="E52" s="467"/>
      <c r="F52" s="467"/>
      <c r="G52" s="467"/>
      <c r="H52" s="467"/>
      <c r="I52" s="467"/>
      <c r="J52" s="467"/>
    </row>
    <row r="53" spans="1:10" ht="46.5" customHeight="1" x14ac:dyDescent="0.25">
      <c r="A53" s="461"/>
      <c r="B53" s="462"/>
      <c r="C53" s="462"/>
      <c r="D53" s="462"/>
      <c r="E53" s="462"/>
      <c r="F53" s="462"/>
      <c r="G53" s="462"/>
      <c r="H53" s="462"/>
      <c r="I53" s="462"/>
      <c r="J53" s="462"/>
    </row>
    <row r="54" spans="1:10" x14ac:dyDescent="0.25">
      <c r="A54" s="468" t="s">
        <v>125</v>
      </c>
      <c r="B54" s="469"/>
      <c r="C54" s="469"/>
      <c r="D54" s="469"/>
      <c r="E54" s="469"/>
      <c r="F54" s="469"/>
      <c r="G54" s="469"/>
      <c r="H54" s="469"/>
      <c r="I54" s="469"/>
      <c r="J54" s="469"/>
    </row>
    <row r="55" spans="1:10" x14ac:dyDescent="0.25">
      <c r="A55" s="7" t="s">
        <v>4</v>
      </c>
      <c r="B55" s="454" t="s">
        <v>5</v>
      </c>
      <c r="C55" s="454"/>
      <c r="D55" s="454"/>
      <c r="E55" s="454"/>
      <c r="F55" s="454"/>
      <c r="G55" s="454"/>
      <c r="H55" s="454"/>
      <c r="I55" s="6" t="s">
        <v>126</v>
      </c>
      <c r="J55" s="164" t="s">
        <v>15</v>
      </c>
    </row>
    <row r="56" spans="1:10" x14ac:dyDescent="0.25">
      <c r="A56" s="52" t="s">
        <v>23</v>
      </c>
      <c r="B56" s="448" t="s">
        <v>127</v>
      </c>
      <c r="C56" s="448"/>
      <c r="D56" s="448"/>
      <c r="E56" s="448"/>
      <c r="F56" s="448"/>
      <c r="G56" s="448"/>
      <c r="H56" s="448"/>
      <c r="I56" s="9">
        <v>0.2</v>
      </c>
      <c r="J56" s="69">
        <f>I56*(J$37+J$48)</f>
        <v>914.67438655999979</v>
      </c>
    </row>
    <row r="57" spans="1:10" x14ac:dyDescent="0.25">
      <c r="A57" s="52" t="s">
        <v>20</v>
      </c>
      <c r="B57" s="448" t="s">
        <v>128</v>
      </c>
      <c r="C57" s="448"/>
      <c r="D57" s="448"/>
      <c r="E57" s="448"/>
      <c r="F57" s="448"/>
      <c r="G57" s="448"/>
      <c r="H57" s="448"/>
      <c r="I57" s="9">
        <v>2.5000000000000001E-2</v>
      </c>
      <c r="J57" s="69">
        <f t="shared" ref="J57:J63" si="0">I57*(J$37+J$48)</f>
        <v>114.33429831999997</v>
      </c>
    </row>
    <row r="58" spans="1:10" x14ac:dyDescent="0.25">
      <c r="A58" s="52" t="s">
        <v>11</v>
      </c>
      <c r="B58" s="448" t="s">
        <v>12</v>
      </c>
      <c r="C58" s="448"/>
      <c r="D58" s="448"/>
      <c r="E58" s="448"/>
      <c r="F58" s="448"/>
      <c r="G58" s="448"/>
      <c r="H58" s="448"/>
      <c r="I58" s="9">
        <v>0.03</v>
      </c>
      <c r="J58" s="69">
        <f t="shared" si="0"/>
        <v>137.20115798399996</v>
      </c>
    </row>
    <row r="59" spans="1:10" x14ac:dyDescent="0.25">
      <c r="A59" s="52" t="s">
        <v>30</v>
      </c>
      <c r="B59" s="448" t="s">
        <v>129</v>
      </c>
      <c r="C59" s="448"/>
      <c r="D59" s="448"/>
      <c r="E59" s="448"/>
      <c r="F59" s="448"/>
      <c r="G59" s="448"/>
      <c r="H59" s="448"/>
      <c r="I59" s="9">
        <v>1.4999999999999999E-2</v>
      </c>
      <c r="J59" s="69">
        <f t="shared" si="0"/>
        <v>68.600578991999981</v>
      </c>
    </row>
    <row r="60" spans="1:10" x14ac:dyDescent="0.25">
      <c r="A60" s="52" t="s">
        <v>32</v>
      </c>
      <c r="B60" s="448" t="s">
        <v>130</v>
      </c>
      <c r="C60" s="448"/>
      <c r="D60" s="448"/>
      <c r="E60" s="448"/>
      <c r="F60" s="448"/>
      <c r="G60" s="448"/>
      <c r="H60" s="448"/>
      <c r="I60" s="9">
        <v>0.01</v>
      </c>
      <c r="J60" s="69">
        <f t="shared" si="0"/>
        <v>45.733719327999992</v>
      </c>
    </row>
    <row r="61" spans="1:10" x14ac:dyDescent="0.25">
      <c r="A61" s="52" t="s">
        <v>131</v>
      </c>
      <c r="B61" s="448" t="s">
        <v>132</v>
      </c>
      <c r="C61" s="448"/>
      <c r="D61" s="448"/>
      <c r="E61" s="448"/>
      <c r="F61" s="448"/>
      <c r="G61" s="448"/>
      <c r="H61" s="448"/>
      <c r="I61" s="9">
        <v>6.0000000000000001E-3</v>
      </c>
      <c r="J61" s="69">
        <f t="shared" si="0"/>
        <v>27.440231596799993</v>
      </c>
    </row>
    <row r="62" spans="1:10" x14ac:dyDescent="0.25">
      <c r="A62" s="52" t="s">
        <v>25</v>
      </c>
      <c r="B62" s="448" t="s">
        <v>133</v>
      </c>
      <c r="C62" s="448"/>
      <c r="D62" s="448"/>
      <c r="E62" s="448"/>
      <c r="F62" s="448"/>
      <c r="G62" s="448"/>
      <c r="H62" s="448"/>
      <c r="I62" s="9">
        <v>2E-3</v>
      </c>
      <c r="J62" s="69">
        <f t="shared" si="0"/>
        <v>9.1467438655999977</v>
      </c>
    </row>
    <row r="63" spans="1:10" x14ac:dyDescent="0.25">
      <c r="A63" s="52" t="s">
        <v>37</v>
      </c>
      <c r="B63" s="448" t="s">
        <v>134</v>
      </c>
      <c r="C63" s="448"/>
      <c r="D63" s="448"/>
      <c r="E63" s="448"/>
      <c r="F63" s="448"/>
      <c r="G63" s="448"/>
      <c r="H63" s="448"/>
      <c r="I63" s="9">
        <v>0.08</v>
      </c>
      <c r="J63" s="69">
        <f t="shared" si="0"/>
        <v>365.86975462399994</v>
      </c>
    </row>
    <row r="64" spans="1:10" x14ac:dyDescent="0.25">
      <c r="A64" s="454" t="s">
        <v>121</v>
      </c>
      <c r="B64" s="454"/>
      <c r="C64" s="454"/>
      <c r="D64" s="454"/>
      <c r="E64" s="454"/>
      <c r="F64" s="454"/>
      <c r="G64" s="454"/>
      <c r="H64" s="454"/>
      <c r="I64" s="70">
        <f t="shared" ref="I64:J64" si="1">SUM(I56:I63)</f>
        <v>0.36800000000000005</v>
      </c>
      <c r="J64" s="71">
        <f t="shared" si="1"/>
        <v>1683.0008712703998</v>
      </c>
    </row>
    <row r="65" spans="1:10" x14ac:dyDescent="0.25">
      <c r="A65" s="472"/>
      <c r="B65" s="472"/>
      <c r="C65" s="472"/>
      <c r="D65" s="472"/>
      <c r="E65" s="472"/>
      <c r="F65" s="472"/>
      <c r="G65" s="472"/>
      <c r="H65" s="472"/>
      <c r="I65" s="472"/>
      <c r="J65" s="472"/>
    </row>
    <row r="66" spans="1:10" ht="38.25" customHeight="1" x14ac:dyDescent="0.25">
      <c r="A66" s="467" t="s">
        <v>135</v>
      </c>
      <c r="B66" s="467"/>
      <c r="C66" s="467"/>
      <c r="D66" s="467"/>
      <c r="E66" s="467"/>
      <c r="F66" s="467"/>
      <c r="G66" s="467"/>
      <c r="H66" s="467"/>
      <c r="I66" s="467"/>
      <c r="J66" s="467"/>
    </row>
    <row r="67" spans="1:10" ht="38.25" customHeight="1" x14ac:dyDescent="0.25">
      <c r="A67" s="467" t="s">
        <v>136</v>
      </c>
      <c r="B67" s="467"/>
      <c r="C67" s="467"/>
      <c r="D67" s="467"/>
      <c r="E67" s="467"/>
      <c r="F67" s="467"/>
      <c r="G67" s="467"/>
      <c r="H67" s="467"/>
      <c r="I67" s="467"/>
      <c r="J67" s="467"/>
    </row>
    <row r="68" spans="1:10" ht="38.25" customHeight="1" x14ac:dyDescent="0.25">
      <c r="A68" s="459" t="s">
        <v>137</v>
      </c>
      <c r="B68" s="459"/>
      <c r="C68" s="459"/>
      <c r="D68" s="459"/>
      <c r="E68" s="459"/>
      <c r="F68" s="459"/>
      <c r="G68" s="459"/>
      <c r="H68" s="459"/>
      <c r="I68" s="459"/>
      <c r="J68" s="459"/>
    </row>
    <row r="69" spans="1:10" x14ac:dyDescent="0.25">
      <c r="A69" s="474"/>
      <c r="B69" s="474"/>
      <c r="C69" s="474"/>
      <c r="D69" s="474"/>
      <c r="E69" s="474"/>
      <c r="F69" s="474"/>
      <c r="G69" s="474"/>
      <c r="H69" s="474"/>
      <c r="I69" s="474"/>
      <c r="J69" s="461"/>
    </row>
    <row r="70" spans="1:10" x14ac:dyDescent="0.25">
      <c r="A70" s="468" t="s">
        <v>138</v>
      </c>
      <c r="B70" s="469"/>
      <c r="C70" s="469"/>
      <c r="D70" s="469"/>
      <c r="E70" s="469"/>
      <c r="F70" s="469"/>
      <c r="G70" s="469"/>
      <c r="H70" s="469"/>
      <c r="I70" s="469"/>
      <c r="J70" s="469"/>
    </row>
    <row r="71" spans="1:10" x14ac:dyDescent="0.25">
      <c r="A71" s="72" t="s">
        <v>13</v>
      </c>
      <c r="B71" s="454" t="s">
        <v>14</v>
      </c>
      <c r="C71" s="454"/>
      <c r="D71" s="454"/>
      <c r="E71" s="454"/>
      <c r="F71" s="454"/>
      <c r="G71" s="454"/>
      <c r="H71" s="454"/>
      <c r="I71" s="454"/>
      <c r="J71" s="164" t="s">
        <v>15</v>
      </c>
    </row>
    <row r="72" spans="1:10" x14ac:dyDescent="0.25">
      <c r="A72" s="48" t="s">
        <v>23</v>
      </c>
      <c r="B72" s="448" t="s">
        <v>362</v>
      </c>
      <c r="C72" s="448"/>
      <c r="D72" s="448"/>
      <c r="E72" s="448"/>
      <c r="F72" s="448"/>
      <c r="G72" s="448"/>
      <c r="H72" s="448"/>
      <c r="I72" s="448"/>
      <c r="J72" s="74">
        <f>(15*2*4)-(J33*50%*6%)</f>
        <v>48.277800000000013</v>
      </c>
    </row>
    <row r="73" spans="1:10" x14ac:dyDescent="0.25">
      <c r="A73" s="48" t="s">
        <v>42</v>
      </c>
      <c r="B73" s="448" t="s">
        <v>363</v>
      </c>
      <c r="C73" s="448"/>
      <c r="D73" s="448"/>
      <c r="E73" s="448"/>
      <c r="F73" s="448"/>
      <c r="G73" s="448"/>
      <c r="H73" s="448"/>
      <c r="I73" s="448"/>
      <c r="J73" s="74">
        <f>(15*36)-1%*(15*36)</f>
        <v>534.6</v>
      </c>
    </row>
    <row r="74" spans="1:10" x14ac:dyDescent="0.25">
      <c r="A74" s="48" t="s">
        <v>32</v>
      </c>
      <c r="B74" s="448" t="s">
        <v>139</v>
      </c>
      <c r="C74" s="448"/>
      <c r="D74" s="448"/>
      <c r="E74" s="448"/>
      <c r="F74" s="448"/>
      <c r="G74" s="448"/>
      <c r="H74" s="448"/>
      <c r="I74" s="448"/>
      <c r="J74" s="74">
        <v>0</v>
      </c>
    </row>
    <row r="75" spans="1:10" x14ac:dyDescent="0.25">
      <c r="A75" s="48" t="s">
        <v>25</v>
      </c>
      <c r="B75" s="448" t="s">
        <v>140</v>
      </c>
      <c r="C75" s="448"/>
      <c r="D75" s="448"/>
      <c r="E75" s="448"/>
      <c r="F75" s="448"/>
      <c r="G75" s="448"/>
      <c r="H75" s="448"/>
      <c r="I75" s="448"/>
      <c r="J75" s="74">
        <v>0</v>
      </c>
    </row>
    <row r="76" spans="1:10" ht="21" customHeight="1" x14ac:dyDescent="0.25">
      <c r="A76" s="48" t="s">
        <v>20</v>
      </c>
      <c r="B76" s="430" t="s">
        <v>21</v>
      </c>
      <c r="C76" s="431"/>
      <c r="D76" s="431"/>
      <c r="E76" s="431"/>
      <c r="F76" s="431"/>
      <c r="G76" s="431"/>
      <c r="H76" s="431"/>
      <c r="I76" s="432"/>
      <c r="J76" s="74">
        <f>'Media de custo com mão de o (2)'!M24</f>
        <v>13.5</v>
      </c>
    </row>
    <row r="77" spans="1:10" ht="21" customHeight="1" x14ac:dyDescent="0.25">
      <c r="A77" s="150"/>
      <c r="B77" s="602" t="s">
        <v>299</v>
      </c>
      <c r="C77" s="603"/>
      <c r="D77" s="603"/>
      <c r="E77" s="603"/>
      <c r="F77" s="603"/>
      <c r="G77" s="603"/>
      <c r="H77" s="603"/>
      <c r="I77" s="604"/>
      <c r="J77" s="12">
        <f>28.25/2</f>
        <v>14.125</v>
      </c>
    </row>
    <row r="78" spans="1:10" ht="21" customHeight="1" x14ac:dyDescent="0.25">
      <c r="A78" s="149"/>
      <c r="B78" s="475" t="s">
        <v>298</v>
      </c>
      <c r="C78" s="476"/>
      <c r="D78" s="476"/>
      <c r="E78" s="476"/>
      <c r="F78" s="476"/>
      <c r="G78" s="476"/>
      <c r="H78" s="476"/>
      <c r="I78" s="477"/>
      <c r="J78" s="74">
        <v>2</v>
      </c>
    </row>
    <row r="79" spans="1:10" x14ac:dyDescent="0.25">
      <c r="A79" s="48"/>
      <c r="B79" s="454" t="s">
        <v>141</v>
      </c>
      <c r="C79" s="454"/>
      <c r="D79" s="454"/>
      <c r="E79" s="454"/>
      <c r="F79" s="454"/>
      <c r="G79" s="454"/>
      <c r="H79" s="454"/>
      <c r="I79" s="454"/>
      <c r="J79" s="75">
        <f>SUM(J72:J78)</f>
        <v>612.50279999999998</v>
      </c>
    </row>
    <row r="80" spans="1:10" x14ac:dyDescent="0.25">
      <c r="A80" s="426"/>
      <c r="B80" s="427"/>
      <c r="C80" s="427"/>
      <c r="D80" s="427"/>
      <c r="E80" s="427"/>
      <c r="F80" s="427"/>
      <c r="G80" s="427"/>
      <c r="H80" s="427"/>
      <c r="I80" s="427"/>
      <c r="J80" s="427"/>
    </row>
    <row r="81" spans="1:10" ht="38.25" customHeight="1" x14ac:dyDescent="0.25">
      <c r="A81" s="473" t="s">
        <v>142</v>
      </c>
      <c r="B81" s="473"/>
      <c r="C81" s="473"/>
      <c r="D81" s="473"/>
      <c r="E81" s="473"/>
      <c r="F81" s="473"/>
      <c r="G81" s="473"/>
      <c r="H81" s="473"/>
      <c r="I81" s="473"/>
      <c r="J81" s="473"/>
    </row>
    <row r="82" spans="1:10" ht="38.25" customHeight="1" x14ac:dyDescent="0.25">
      <c r="A82" s="473" t="s">
        <v>143</v>
      </c>
      <c r="B82" s="473"/>
      <c r="C82" s="473"/>
      <c r="D82" s="473"/>
      <c r="E82" s="473"/>
      <c r="F82" s="473"/>
      <c r="G82" s="473"/>
      <c r="H82" s="473"/>
      <c r="I82" s="473"/>
      <c r="J82" s="473"/>
    </row>
    <row r="83" spans="1:10" x14ac:dyDescent="0.25">
      <c r="A83" s="426"/>
      <c r="B83" s="427"/>
      <c r="C83" s="427"/>
      <c r="D83" s="427"/>
      <c r="E83" s="427"/>
      <c r="F83" s="427"/>
      <c r="G83" s="427"/>
      <c r="H83" s="427"/>
      <c r="I83" s="427"/>
      <c r="J83" s="427"/>
    </row>
    <row r="84" spans="1:10" x14ac:dyDescent="0.25">
      <c r="A84" s="482" t="s">
        <v>144</v>
      </c>
      <c r="B84" s="482"/>
      <c r="C84" s="482"/>
      <c r="D84" s="482"/>
      <c r="E84" s="482"/>
      <c r="F84" s="482"/>
      <c r="G84" s="482"/>
      <c r="H84" s="482"/>
      <c r="I84" s="482"/>
      <c r="J84" s="483"/>
    </row>
    <row r="85" spans="1:10" x14ac:dyDescent="0.25">
      <c r="A85" s="484"/>
      <c r="B85" s="485"/>
      <c r="C85" s="485"/>
      <c r="D85" s="485"/>
      <c r="E85" s="485"/>
      <c r="F85" s="485"/>
      <c r="G85" s="485"/>
      <c r="H85" s="485"/>
      <c r="I85" s="485"/>
      <c r="J85" s="485"/>
    </row>
    <row r="86" spans="1:10" x14ac:dyDescent="0.25">
      <c r="A86" s="7">
        <v>2</v>
      </c>
      <c r="B86" s="454" t="s">
        <v>145</v>
      </c>
      <c r="C86" s="454"/>
      <c r="D86" s="454"/>
      <c r="E86" s="454"/>
      <c r="F86" s="454"/>
      <c r="G86" s="454"/>
      <c r="H86" s="454"/>
      <c r="I86" s="454"/>
      <c r="J86" s="159" t="s">
        <v>15</v>
      </c>
    </row>
    <row r="87" spans="1:10" x14ac:dyDescent="0.25">
      <c r="A87" s="52" t="s">
        <v>117</v>
      </c>
      <c r="B87" s="448" t="s">
        <v>146</v>
      </c>
      <c r="C87" s="448"/>
      <c r="D87" s="448"/>
      <c r="E87" s="448"/>
      <c r="F87" s="448"/>
      <c r="G87" s="448"/>
      <c r="H87" s="448"/>
      <c r="I87" s="448"/>
      <c r="J87" s="390">
        <f>J48</f>
        <v>744.3599327999998</v>
      </c>
    </row>
    <row r="88" spans="1:10" x14ac:dyDescent="0.25">
      <c r="A88" s="52" t="s">
        <v>4</v>
      </c>
      <c r="B88" s="448" t="s">
        <v>147</v>
      </c>
      <c r="C88" s="448"/>
      <c r="D88" s="448"/>
      <c r="E88" s="448"/>
      <c r="F88" s="448"/>
      <c r="G88" s="448"/>
      <c r="H88" s="448"/>
      <c r="I88" s="448"/>
      <c r="J88" s="390">
        <f>J64</f>
        <v>1683.0008712703998</v>
      </c>
    </row>
    <row r="89" spans="1:10" x14ac:dyDescent="0.25">
      <c r="A89" s="52" t="s">
        <v>148</v>
      </c>
      <c r="B89" s="448" t="s">
        <v>149</v>
      </c>
      <c r="C89" s="448"/>
      <c r="D89" s="448"/>
      <c r="E89" s="448"/>
      <c r="F89" s="448"/>
      <c r="G89" s="448"/>
      <c r="H89" s="448"/>
      <c r="I89" s="448"/>
      <c r="J89" s="390">
        <f>J79</f>
        <v>612.50279999999998</v>
      </c>
    </row>
    <row r="90" spans="1:10" x14ac:dyDescent="0.25">
      <c r="A90" s="77"/>
      <c r="B90" s="478" t="s">
        <v>150</v>
      </c>
      <c r="C90" s="478"/>
      <c r="D90" s="478"/>
      <c r="E90" s="478"/>
      <c r="F90" s="478"/>
      <c r="G90" s="478"/>
      <c r="H90" s="478"/>
      <c r="I90" s="478"/>
      <c r="J90" s="391">
        <f>SUM(J87:J89)</f>
        <v>3039.8636040703996</v>
      </c>
    </row>
    <row r="91" spans="1:10" x14ac:dyDescent="0.25">
      <c r="A91" s="479"/>
      <c r="B91" s="480"/>
      <c r="C91" s="480"/>
      <c r="D91" s="480"/>
      <c r="E91" s="480"/>
      <c r="F91" s="480"/>
      <c r="G91" s="480"/>
      <c r="H91" s="480"/>
      <c r="I91" s="480"/>
      <c r="J91" s="480"/>
    </row>
    <row r="92" spans="1:10" x14ac:dyDescent="0.25">
      <c r="A92" s="461"/>
      <c r="B92" s="462"/>
      <c r="C92" s="462"/>
      <c r="D92" s="462"/>
      <c r="E92" s="462"/>
      <c r="F92" s="462"/>
      <c r="G92" s="462"/>
      <c r="H92" s="462"/>
      <c r="I92" s="462"/>
      <c r="J92" s="462"/>
    </row>
    <row r="93" spans="1:10" x14ac:dyDescent="0.25">
      <c r="A93" s="466" t="s">
        <v>151</v>
      </c>
      <c r="B93" s="481"/>
      <c r="C93" s="481"/>
      <c r="D93" s="481"/>
      <c r="E93" s="481"/>
      <c r="F93" s="481"/>
      <c r="G93" s="481"/>
      <c r="H93" s="481"/>
      <c r="I93" s="481"/>
      <c r="J93" s="481"/>
    </row>
    <row r="94" spans="1:10" x14ac:dyDescent="0.25">
      <c r="A94" s="7">
        <v>3</v>
      </c>
      <c r="B94" s="454" t="s">
        <v>22</v>
      </c>
      <c r="C94" s="454"/>
      <c r="D94" s="454"/>
      <c r="E94" s="454"/>
      <c r="F94" s="454"/>
      <c r="G94" s="454"/>
      <c r="H94" s="454"/>
      <c r="I94" s="7" t="s">
        <v>126</v>
      </c>
      <c r="J94" s="164" t="s">
        <v>15</v>
      </c>
    </row>
    <row r="95" spans="1:10" x14ac:dyDescent="0.25">
      <c r="A95" s="52" t="s">
        <v>23</v>
      </c>
      <c r="B95" s="486" t="s">
        <v>24</v>
      </c>
      <c r="C95" s="486"/>
      <c r="D95" s="486"/>
      <c r="E95" s="486"/>
      <c r="F95" s="486"/>
      <c r="G95" s="486"/>
      <c r="H95" s="486"/>
      <c r="I95" s="79">
        <f>'Media de custo com mão de o (2)'!M26</f>
        <v>4.1999999999999997E-3</v>
      </c>
      <c r="J95" s="80">
        <f>I95*J37</f>
        <v>16.081850399999997</v>
      </c>
    </row>
    <row r="96" spans="1:10" ht="21" customHeight="1" x14ac:dyDescent="0.25">
      <c r="A96" s="52" t="s">
        <v>30</v>
      </c>
      <c r="B96" s="486" t="s">
        <v>152</v>
      </c>
      <c r="C96" s="486"/>
      <c r="D96" s="486"/>
      <c r="E96" s="486"/>
      <c r="F96" s="486"/>
      <c r="G96" s="486"/>
      <c r="H96" s="486"/>
      <c r="I96" s="9">
        <f>I63</f>
        <v>0.08</v>
      </c>
      <c r="J96" s="80">
        <f>I96*J95</f>
        <v>1.2865480319999998</v>
      </c>
    </row>
    <row r="97" spans="1:10" ht="25.15" customHeight="1" x14ac:dyDescent="0.25">
      <c r="A97" s="81" t="s">
        <v>32</v>
      </c>
      <c r="B97" s="486" t="s">
        <v>153</v>
      </c>
      <c r="C97" s="486"/>
      <c r="D97" s="486"/>
      <c r="E97" s="486"/>
      <c r="F97" s="486"/>
      <c r="G97" s="486"/>
      <c r="H97" s="486"/>
      <c r="I97" s="82">
        <v>0.02</v>
      </c>
      <c r="J97" s="80">
        <f>I97*J37</f>
        <v>76.580239999999989</v>
      </c>
    </row>
    <row r="98" spans="1:10" ht="27.75" customHeight="1" x14ac:dyDescent="0.25">
      <c r="A98" s="52" t="s">
        <v>25</v>
      </c>
      <c r="B98" s="486" t="s">
        <v>154</v>
      </c>
      <c r="C98" s="486"/>
      <c r="D98" s="486"/>
      <c r="E98" s="486"/>
      <c r="F98" s="486"/>
      <c r="G98" s="486"/>
      <c r="H98" s="486"/>
      <c r="I98" s="330">
        <f>'Media de custo com mão de o (2)'!M27</f>
        <v>1.9400000000000001E-2</v>
      </c>
      <c r="J98" s="80">
        <f>I98*J37</f>
        <v>74.282832799999994</v>
      </c>
    </row>
    <row r="99" spans="1:10" ht="22.15" customHeight="1" x14ac:dyDescent="0.25">
      <c r="A99" s="52" t="s">
        <v>20</v>
      </c>
      <c r="B99" s="486" t="s">
        <v>155</v>
      </c>
      <c r="C99" s="486"/>
      <c r="D99" s="486"/>
      <c r="E99" s="486"/>
      <c r="F99" s="486"/>
      <c r="G99" s="486"/>
      <c r="H99" s="486"/>
      <c r="I99" s="9">
        <f>I64</f>
        <v>0.36800000000000005</v>
      </c>
      <c r="J99" s="80">
        <f>I99*J98</f>
        <v>27.336082470400001</v>
      </c>
    </row>
    <row r="100" spans="1:10" ht="22.15" customHeight="1" x14ac:dyDescent="0.25">
      <c r="A100" s="52" t="s">
        <v>37</v>
      </c>
      <c r="B100" s="486" t="s">
        <v>156</v>
      </c>
      <c r="C100" s="486"/>
      <c r="D100" s="486"/>
      <c r="E100" s="486"/>
      <c r="F100" s="486"/>
      <c r="G100" s="486"/>
      <c r="H100" s="486"/>
      <c r="I100" s="82">
        <v>0.02</v>
      </c>
      <c r="J100" s="80">
        <f>I100*J37</f>
        <v>76.580239999999989</v>
      </c>
    </row>
    <row r="101" spans="1:10" ht="22.15" customHeight="1" x14ac:dyDescent="0.25">
      <c r="A101" s="98"/>
      <c r="B101" s="454" t="s">
        <v>121</v>
      </c>
      <c r="C101" s="454"/>
      <c r="D101" s="454"/>
      <c r="E101" s="454"/>
      <c r="F101" s="454"/>
      <c r="G101" s="454"/>
      <c r="H101" s="454"/>
      <c r="I101" s="86"/>
      <c r="J101" s="58">
        <f>SUM(J95:J100)</f>
        <v>272.14779370240001</v>
      </c>
    </row>
    <row r="102" spans="1:10" x14ac:dyDescent="0.25">
      <c r="A102" s="470"/>
      <c r="B102" s="471"/>
      <c r="C102" s="471"/>
      <c r="D102" s="471"/>
      <c r="E102" s="471"/>
      <c r="F102" s="471"/>
      <c r="G102" s="471"/>
      <c r="H102" s="471"/>
      <c r="I102" s="471"/>
      <c r="J102" s="471"/>
    </row>
    <row r="103" spans="1:10" ht="90.75" customHeight="1" x14ac:dyDescent="0.25">
      <c r="A103" s="467" t="s">
        <v>157</v>
      </c>
      <c r="B103" s="467"/>
      <c r="C103" s="467"/>
      <c r="D103" s="467"/>
      <c r="E103" s="467"/>
      <c r="F103" s="467"/>
      <c r="G103" s="467"/>
      <c r="H103" s="467"/>
      <c r="I103" s="467"/>
      <c r="J103" s="467"/>
    </row>
    <row r="104" spans="1:10" x14ac:dyDescent="0.25">
      <c r="A104" s="487"/>
      <c r="B104" s="488"/>
      <c r="C104" s="488"/>
      <c r="D104" s="488"/>
      <c r="E104" s="488"/>
      <c r="F104" s="488"/>
      <c r="G104" s="488"/>
      <c r="H104" s="488"/>
      <c r="I104" s="488"/>
      <c r="J104" s="488"/>
    </row>
    <row r="105" spans="1:10" x14ac:dyDescent="0.25">
      <c r="A105" s="489" t="s">
        <v>158</v>
      </c>
      <c r="B105" s="490"/>
      <c r="C105" s="490"/>
      <c r="D105" s="490"/>
      <c r="E105" s="490"/>
      <c r="F105" s="490"/>
      <c r="G105" s="490"/>
      <c r="H105" s="490"/>
      <c r="I105" s="490"/>
      <c r="J105" s="490"/>
    </row>
    <row r="106" spans="1:10" x14ac:dyDescent="0.25">
      <c r="A106" s="470"/>
      <c r="B106" s="471"/>
      <c r="C106" s="471"/>
      <c r="D106" s="471"/>
      <c r="E106" s="471"/>
      <c r="F106" s="471"/>
      <c r="G106" s="471"/>
      <c r="H106" s="471"/>
      <c r="I106" s="471"/>
      <c r="J106" s="471"/>
    </row>
    <row r="107" spans="1:10" ht="33.75" customHeight="1" x14ac:dyDescent="0.25">
      <c r="A107" s="467" t="s">
        <v>159</v>
      </c>
      <c r="B107" s="467"/>
      <c r="C107" s="467"/>
      <c r="D107" s="467"/>
      <c r="E107" s="467"/>
      <c r="F107" s="467"/>
      <c r="G107" s="467"/>
      <c r="H107" s="467"/>
      <c r="I107" s="467"/>
      <c r="J107" s="467"/>
    </row>
    <row r="108" spans="1:10" x14ac:dyDescent="0.25">
      <c r="A108" s="461"/>
      <c r="B108" s="462"/>
      <c r="C108" s="462"/>
      <c r="D108" s="462"/>
      <c r="E108" s="462"/>
      <c r="F108" s="462"/>
      <c r="G108" s="462"/>
      <c r="H108" s="462"/>
      <c r="I108" s="462"/>
      <c r="J108" s="462"/>
    </row>
    <row r="109" spans="1:10" x14ac:dyDescent="0.25">
      <c r="A109" s="491" t="s">
        <v>160</v>
      </c>
      <c r="B109" s="491"/>
      <c r="C109" s="491"/>
      <c r="D109" s="491"/>
      <c r="E109" s="491"/>
      <c r="F109" s="491"/>
      <c r="G109" s="491"/>
      <c r="H109" s="491"/>
      <c r="I109" s="491"/>
      <c r="J109" s="468"/>
    </row>
    <row r="110" spans="1:10" x14ac:dyDescent="0.25">
      <c r="A110" s="87" t="s">
        <v>27</v>
      </c>
      <c r="B110" s="454" t="s">
        <v>28</v>
      </c>
      <c r="C110" s="454"/>
      <c r="D110" s="454"/>
      <c r="E110" s="454"/>
      <c r="F110" s="454"/>
      <c r="G110" s="454"/>
      <c r="H110" s="454"/>
      <c r="I110" s="98"/>
      <c r="J110" s="164" t="s">
        <v>15</v>
      </c>
    </row>
    <row r="111" spans="1:10" x14ac:dyDescent="0.25">
      <c r="A111" s="52" t="s">
        <v>23</v>
      </c>
      <c r="B111" s="448" t="s">
        <v>29</v>
      </c>
      <c r="C111" s="448"/>
      <c r="D111" s="448"/>
      <c r="E111" s="448"/>
      <c r="F111" s="448"/>
      <c r="G111" s="448"/>
      <c r="H111" s="448"/>
      <c r="I111" s="88">
        <f>J111/J37</f>
        <v>0.14272928190032658</v>
      </c>
      <c r="J111" s="69">
        <f>'Custo de Substitução nas Ferias'!H11</f>
        <v>546.51213314773315</v>
      </c>
    </row>
    <row r="112" spans="1:10" x14ac:dyDescent="0.25">
      <c r="A112" s="52" t="s">
        <v>30</v>
      </c>
      <c r="B112" s="455" t="s">
        <v>31</v>
      </c>
      <c r="C112" s="448"/>
      <c r="D112" s="448"/>
      <c r="E112" s="448"/>
      <c r="F112" s="448"/>
      <c r="G112" s="448"/>
      <c r="H112" s="448"/>
      <c r="I112" s="88">
        <f>'Media de custo com mão de o (2)'!M29</f>
        <v>5.28709729691027E-3</v>
      </c>
      <c r="J112" s="69">
        <f>I112*$J$37</f>
        <v>20.244358995036983</v>
      </c>
    </row>
    <row r="113" spans="1:10" x14ac:dyDescent="0.25">
      <c r="A113" s="52" t="s">
        <v>32</v>
      </c>
      <c r="B113" s="448" t="s">
        <v>33</v>
      </c>
      <c r="C113" s="448"/>
      <c r="D113" s="448"/>
      <c r="E113" s="448"/>
      <c r="F113" s="448"/>
      <c r="G113" s="448"/>
      <c r="H113" s="448"/>
      <c r="I113" s="88">
        <f>'Media de custo com mão de o (2)'!M30</f>
        <v>3.7684228773416035E-4</v>
      </c>
      <c r="J113" s="69">
        <f t="shared" ref="J113:J116" si="2">I113*$J$37</f>
        <v>1.4429336418415526</v>
      </c>
    </row>
    <row r="114" spans="1:10" x14ac:dyDescent="0.25">
      <c r="A114" s="52" t="s">
        <v>25</v>
      </c>
      <c r="B114" s="448" t="s">
        <v>34</v>
      </c>
      <c r="C114" s="448"/>
      <c r="D114" s="448"/>
      <c r="E114" s="448"/>
      <c r="F114" s="448"/>
      <c r="G114" s="448"/>
      <c r="H114" s="448"/>
      <c r="I114" s="88">
        <f>'Media de custo com mão de o (2)'!M31</f>
        <v>5.28709729691027E-3</v>
      </c>
      <c r="J114" s="69">
        <f t="shared" si="2"/>
        <v>20.244358995036983</v>
      </c>
    </row>
    <row r="115" spans="1:10" x14ac:dyDescent="0.25">
      <c r="A115" s="52" t="s">
        <v>20</v>
      </c>
      <c r="B115" s="448" t="s">
        <v>35</v>
      </c>
      <c r="C115" s="448"/>
      <c r="D115" s="448"/>
      <c r="E115" s="448"/>
      <c r="F115" s="448"/>
      <c r="G115" s="448"/>
      <c r="H115" s="448"/>
      <c r="I115" s="88">
        <f>'Media de custo com mão de o (2)'!M32</f>
        <v>5.6526343160124052E-4</v>
      </c>
      <c r="J115" s="69">
        <f t="shared" si="2"/>
        <v>2.1644004627623286</v>
      </c>
    </row>
    <row r="116" spans="1:10" x14ac:dyDescent="0.25">
      <c r="A116" s="52" t="s">
        <v>37</v>
      </c>
      <c r="B116" s="448" t="s">
        <v>38</v>
      </c>
      <c r="C116" s="448"/>
      <c r="D116" s="448"/>
      <c r="E116" s="448"/>
      <c r="F116" s="448"/>
      <c r="G116" s="448"/>
      <c r="H116" s="448"/>
      <c r="I116" s="88">
        <f>'Media de custo com mão de o (2)'!M33</f>
        <v>0</v>
      </c>
      <c r="J116" s="69">
        <f t="shared" si="2"/>
        <v>0</v>
      </c>
    </row>
    <row r="117" spans="1:10" ht="22.5" customHeight="1" x14ac:dyDescent="0.25">
      <c r="A117" s="445" t="s">
        <v>150</v>
      </c>
      <c r="B117" s="446"/>
      <c r="C117" s="446"/>
      <c r="D117" s="446"/>
      <c r="E117" s="446"/>
      <c r="F117" s="446"/>
      <c r="G117" s="446"/>
      <c r="H117" s="446"/>
      <c r="I117" s="447"/>
      <c r="J117" s="89">
        <f>SUM(J111:J116)</f>
        <v>590.60818524241108</v>
      </c>
    </row>
    <row r="118" spans="1:10" x14ac:dyDescent="0.25">
      <c r="A118" s="445"/>
      <c r="B118" s="446"/>
      <c r="C118" s="446"/>
      <c r="D118" s="446"/>
      <c r="E118" s="446"/>
      <c r="F118" s="446"/>
      <c r="G118" s="446"/>
      <c r="H118" s="446"/>
      <c r="I118" s="446"/>
      <c r="J118" s="446"/>
    </row>
    <row r="119" spans="1:10" x14ac:dyDescent="0.25">
      <c r="A119" s="468" t="s">
        <v>161</v>
      </c>
      <c r="B119" s="469"/>
      <c r="C119" s="469"/>
      <c r="D119" s="469"/>
      <c r="E119" s="469"/>
      <c r="F119" s="469"/>
      <c r="G119" s="469"/>
      <c r="H119" s="469"/>
      <c r="I119" s="469"/>
      <c r="J119" s="469"/>
    </row>
    <row r="120" spans="1:10" x14ac:dyDescent="0.25">
      <c r="A120" s="7" t="s">
        <v>162</v>
      </c>
      <c r="B120" s="445" t="s">
        <v>163</v>
      </c>
      <c r="C120" s="446"/>
      <c r="D120" s="446"/>
      <c r="E120" s="446"/>
      <c r="F120" s="446"/>
      <c r="G120" s="446"/>
      <c r="H120" s="447"/>
      <c r="I120" s="90"/>
      <c r="J120" s="164" t="s">
        <v>15</v>
      </c>
    </row>
    <row r="121" spans="1:10" x14ac:dyDescent="0.25">
      <c r="A121" s="52" t="s">
        <v>23</v>
      </c>
      <c r="B121" s="430" t="s">
        <v>244</v>
      </c>
      <c r="C121" s="431"/>
      <c r="D121" s="431"/>
      <c r="E121" s="431"/>
      <c r="F121" s="431"/>
      <c r="G121" s="431"/>
      <c r="H121" s="432"/>
      <c r="I121" s="91"/>
      <c r="J121" s="69">
        <f>25.43*15</f>
        <v>381.45</v>
      </c>
    </row>
    <row r="122" spans="1:10" x14ac:dyDescent="0.25">
      <c r="A122" s="445" t="s">
        <v>150</v>
      </c>
      <c r="B122" s="446"/>
      <c r="C122" s="446"/>
      <c r="D122" s="446"/>
      <c r="E122" s="446"/>
      <c r="F122" s="446"/>
      <c r="G122" s="446"/>
      <c r="H122" s="447"/>
      <c r="I122" s="91"/>
      <c r="J122" s="71">
        <f>SUM(J121:J121)</f>
        <v>381.45</v>
      </c>
    </row>
    <row r="123" spans="1:10" x14ac:dyDescent="0.25">
      <c r="A123" s="441"/>
      <c r="B123" s="441"/>
      <c r="C123" s="441"/>
      <c r="D123" s="441"/>
      <c r="E123" s="441"/>
      <c r="F123" s="441"/>
      <c r="G123" s="441"/>
      <c r="H123" s="441"/>
      <c r="I123" s="441"/>
      <c r="J123" s="426"/>
    </row>
    <row r="124" spans="1:10" x14ac:dyDescent="0.25">
      <c r="A124" s="491" t="s">
        <v>164</v>
      </c>
      <c r="B124" s="491"/>
      <c r="C124" s="491"/>
      <c r="D124" s="491"/>
      <c r="E124" s="491"/>
      <c r="F124" s="491"/>
      <c r="G124" s="491"/>
      <c r="H124" s="491"/>
      <c r="I124" s="491"/>
      <c r="J124" s="468"/>
    </row>
    <row r="125" spans="1:10" x14ac:dyDescent="0.25">
      <c r="A125" s="7">
        <v>4</v>
      </c>
      <c r="B125" s="445" t="s">
        <v>165</v>
      </c>
      <c r="C125" s="446"/>
      <c r="D125" s="446"/>
      <c r="E125" s="446"/>
      <c r="F125" s="446"/>
      <c r="G125" s="446"/>
      <c r="H125" s="446"/>
      <c r="I125" s="447"/>
      <c r="J125" s="164" t="s">
        <v>15</v>
      </c>
    </row>
    <row r="126" spans="1:10" x14ac:dyDescent="0.25">
      <c r="A126" s="52" t="s">
        <v>27</v>
      </c>
      <c r="B126" s="448" t="s">
        <v>166</v>
      </c>
      <c r="C126" s="448"/>
      <c r="D126" s="448"/>
      <c r="E126" s="448"/>
      <c r="F126" s="448"/>
      <c r="G126" s="448"/>
      <c r="H126" s="448"/>
      <c r="I126" s="448"/>
      <c r="J126" s="392">
        <f>J117</f>
        <v>590.60818524241108</v>
      </c>
    </row>
    <row r="127" spans="1:10" x14ac:dyDescent="0.25">
      <c r="A127" s="52" t="s">
        <v>162</v>
      </c>
      <c r="B127" s="448" t="s">
        <v>167</v>
      </c>
      <c r="C127" s="448"/>
      <c r="D127" s="448"/>
      <c r="E127" s="448"/>
      <c r="F127" s="448"/>
      <c r="G127" s="448"/>
      <c r="H127" s="448"/>
      <c r="I127" s="448"/>
      <c r="J127" s="392">
        <f>J122</f>
        <v>381.45</v>
      </c>
    </row>
    <row r="128" spans="1:10" x14ac:dyDescent="0.25">
      <c r="A128" s="470" t="s">
        <v>150</v>
      </c>
      <c r="B128" s="471"/>
      <c r="C128" s="471"/>
      <c r="D128" s="471"/>
      <c r="E128" s="471"/>
      <c r="F128" s="471"/>
      <c r="G128" s="471"/>
      <c r="H128" s="471"/>
      <c r="I128" s="492"/>
      <c r="J128" s="393">
        <f>J126+J127</f>
        <v>972.05818524241113</v>
      </c>
    </row>
    <row r="129" spans="1:10" x14ac:dyDescent="0.25">
      <c r="A129" s="493"/>
      <c r="B129" s="494"/>
      <c r="C129" s="494"/>
      <c r="D129" s="494"/>
      <c r="E129" s="494"/>
      <c r="F129" s="494"/>
      <c r="G129" s="494"/>
      <c r="H129" s="494"/>
      <c r="I129" s="494"/>
      <c r="J129" s="494"/>
    </row>
    <row r="130" spans="1:10" x14ac:dyDescent="0.25">
      <c r="A130" s="429" t="s">
        <v>168</v>
      </c>
      <c r="B130" s="429"/>
      <c r="C130" s="429"/>
      <c r="D130" s="429"/>
      <c r="E130" s="429"/>
      <c r="F130" s="429"/>
      <c r="G130" s="429"/>
      <c r="H130" s="429"/>
      <c r="I130" s="429"/>
      <c r="J130" s="429"/>
    </row>
    <row r="131" spans="1:10" x14ac:dyDescent="0.25">
      <c r="A131" s="7">
        <v>5</v>
      </c>
      <c r="B131" s="454" t="s">
        <v>169</v>
      </c>
      <c r="C131" s="454"/>
      <c r="D131" s="454"/>
      <c r="E131" s="454"/>
      <c r="F131" s="454"/>
      <c r="G131" s="454"/>
      <c r="H131" s="454"/>
      <c r="I131" s="454"/>
      <c r="J131" s="164" t="s">
        <v>15</v>
      </c>
    </row>
    <row r="132" spans="1:10" x14ac:dyDescent="0.25">
      <c r="A132" s="52" t="s">
        <v>23</v>
      </c>
      <c r="B132" s="448" t="s">
        <v>170</v>
      </c>
      <c r="C132" s="448"/>
      <c r="D132" s="448"/>
      <c r="E132" s="448"/>
      <c r="F132" s="448"/>
      <c r="G132" s="448"/>
      <c r="H132" s="448"/>
      <c r="I132" s="448"/>
      <c r="J132" s="12"/>
    </row>
    <row r="133" spans="1:10" x14ac:dyDescent="0.25">
      <c r="A133" s="52" t="s">
        <v>30</v>
      </c>
      <c r="B133" s="448" t="s">
        <v>171</v>
      </c>
      <c r="C133" s="448"/>
      <c r="D133" s="448"/>
      <c r="E133" s="448"/>
      <c r="F133" s="448"/>
      <c r="G133" s="448"/>
      <c r="H133" s="448"/>
      <c r="I133" s="448"/>
      <c r="J133" s="12"/>
    </row>
    <row r="134" spans="1:10" x14ac:dyDescent="0.25">
      <c r="A134" s="52" t="s">
        <v>32</v>
      </c>
      <c r="B134" s="448" t="s">
        <v>172</v>
      </c>
      <c r="C134" s="448"/>
      <c r="D134" s="448"/>
      <c r="E134" s="448"/>
      <c r="F134" s="448"/>
      <c r="G134" s="448"/>
      <c r="H134" s="448"/>
      <c r="I134" s="448"/>
      <c r="J134" s="12"/>
    </row>
    <row r="135" spans="1:10" x14ac:dyDescent="0.25">
      <c r="A135" s="52" t="s">
        <v>25</v>
      </c>
      <c r="B135" s="448" t="s">
        <v>173</v>
      </c>
      <c r="C135" s="448"/>
      <c r="D135" s="448"/>
      <c r="E135" s="448"/>
      <c r="F135" s="448"/>
      <c r="G135" s="448"/>
      <c r="H135" s="448"/>
      <c r="I135" s="448"/>
      <c r="J135" s="12"/>
    </row>
    <row r="136" spans="1:10" x14ac:dyDescent="0.25">
      <c r="A136" s="52"/>
      <c r="B136" s="454" t="s">
        <v>57</v>
      </c>
      <c r="C136" s="454"/>
      <c r="D136" s="454"/>
      <c r="E136" s="454"/>
      <c r="F136" s="454"/>
      <c r="G136" s="454"/>
      <c r="H136" s="454"/>
      <c r="I136" s="454"/>
      <c r="J136" s="68">
        <f>SUM(J132:J135)</f>
        <v>0</v>
      </c>
    </row>
    <row r="137" spans="1:10" x14ac:dyDescent="0.25">
      <c r="A137" s="495"/>
      <c r="B137" s="496"/>
      <c r="C137" s="496"/>
      <c r="D137" s="496"/>
      <c r="E137" s="496"/>
      <c r="F137" s="496"/>
      <c r="G137" s="496"/>
      <c r="H137" s="496"/>
      <c r="I137" s="496"/>
      <c r="J137" s="496"/>
    </row>
    <row r="138" spans="1:10" ht="20.25" customHeight="1" x14ac:dyDescent="0.25">
      <c r="A138" s="459" t="s">
        <v>174</v>
      </c>
      <c r="B138" s="459"/>
      <c r="C138" s="459"/>
      <c r="D138" s="459"/>
      <c r="E138" s="459"/>
      <c r="F138" s="459"/>
      <c r="G138" s="459"/>
      <c r="H138" s="459"/>
      <c r="I138" s="459"/>
      <c r="J138" s="459"/>
    </row>
    <row r="139" spans="1:10" x14ac:dyDescent="0.25">
      <c r="A139" s="497"/>
      <c r="B139" s="460"/>
      <c r="C139" s="460"/>
      <c r="D139" s="460"/>
      <c r="E139" s="460"/>
      <c r="F139" s="460"/>
      <c r="G139" s="460"/>
      <c r="H139" s="460"/>
      <c r="I139" s="460"/>
      <c r="J139" s="460"/>
    </row>
    <row r="140" spans="1:10" x14ac:dyDescent="0.25">
      <c r="A140" s="436" t="s">
        <v>175</v>
      </c>
      <c r="B140" s="437"/>
      <c r="C140" s="437"/>
      <c r="D140" s="437"/>
      <c r="E140" s="437"/>
      <c r="F140" s="437"/>
      <c r="G140" s="437"/>
      <c r="H140" s="437"/>
      <c r="I140" s="437"/>
      <c r="J140" s="438"/>
    </row>
    <row r="141" spans="1:10" x14ac:dyDescent="0.25">
      <c r="A141" s="87">
        <v>6</v>
      </c>
      <c r="B141" s="498" t="s">
        <v>39</v>
      </c>
      <c r="C141" s="498"/>
      <c r="D141" s="498"/>
      <c r="E141" s="498"/>
      <c r="F141" s="498"/>
      <c r="G141" s="498"/>
      <c r="H141" s="498"/>
      <c r="I141" s="7" t="s">
        <v>176</v>
      </c>
      <c r="J141" s="164" t="s">
        <v>15</v>
      </c>
    </row>
    <row r="142" spans="1:10" x14ac:dyDescent="0.25">
      <c r="A142" s="52" t="s">
        <v>23</v>
      </c>
      <c r="B142" s="501" t="s">
        <v>41</v>
      </c>
      <c r="C142" s="501"/>
      <c r="D142" s="501"/>
      <c r="E142" s="501"/>
      <c r="F142" s="501"/>
      <c r="G142" s="501"/>
      <c r="H142" s="501"/>
      <c r="I142" s="95">
        <f>'Media de custo com mão de o (2)'!M35</f>
        <v>5.6599999999999998E-2</v>
      </c>
      <c r="J142" s="74">
        <f>I142*J164</f>
        <v>459.20041759866092</v>
      </c>
    </row>
    <row r="143" spans="1:10" x14ac:dyDescent="0.25">
      <c r="A143" s="52" t="s">
        <v>42</v>
      </c>
      <c r="B143" s="486" t="s">
        <v>43</v>
      </c>
      <c r="C143" s="501"/>
      <c r="D143" s="501"/>
      <c r="E143" s="501"/>
      <c r="F143" s="501"/>
      <c r="G143" s="501"/>
      <c r="H143" s="501"/>
      <c r="I143" s="95">
        <f>'Media de custo com mão de o (2)'!M36</f>
        <v>5.8000000000000003E-2</v>
      </c>
      <c r="J143" s="74">
        <f>(J164+J142)*I143</f>
        <v>497.19235603560458</v>
      </c>
    </row>
    <row r="144" spans="1:10" x14ac:dyDescent="0.25">
      <c r="A144" s="52" t="s">
        <v>32</v>
      </c>
      <c r="B144" s="501" t="s">
        <v>177</v>
      </c>
      <c r="C144" s="501"/>
      <c r="D144" s="501"/>
      <c r="E144" s="501"/>
      <c r="F144" s="501"/>
      <c r="G144" s="501"/>
      <c r="H144" s="501"/>
      <c r="I144" s="57"/>
      <c r="J144" s="96"/>
    </row>
    <row r="145" spans="1:10" x14ac:dyDescent="0.25">
      <c r="A145" s="52"/>
      <c r="B145" s="486" t="s">
        <v>178</v>
      </c>
      <c r="C145" s="486"/>
      <c r="D145" s="486"/>
      <c r="E145" s="486"/>
      <c r="F145" s="486"/>
      <c r="G145" s="486"/>
      <c r="H145" s="486"/>
      <c r="I145" s="57"/>
      <c r="J145" s="74"/>
    </row>
    <row r="146" spans="1:10" x14ac:dyDescent="0.25">
      <c r="A146" s="52"/>
      <c r="B146" s="502" t="s">
        <v>179</v>
      </c>
      <c r="C146" s="503"/>
      <c r="D146" s="503"/>
      <c r="E146" s="503"/>
      <c r="F146" s="503"/>
      <c r="G146" s="503"/>
      <c r="H146" s="504"/>
      <c r="I146" s="97">
        <v>0.03</v>
      </c>
      <c r="J146" s="74">
        <f>I146*$J$166</f>
        <v>297.84809053036042</v>
      </c>
    </row>
    <row r="147" spans="1:10" x14ac:dyDescent="0.25">
      <c r="A147" s="52"/>
      <c r="B147" s="502" t="s">
        <v>180</v>
      </c>
      <c r="C147" s="503"/>
      <c r="D147" s="503"/>
      <c r="E147" s="503"/>
      <c r="F147" s="503"/>
      <c r="G147" s="503"/>
      <c r="H147" s="504"/>
      <c r="I147" s="97">
        <v>6.4999999999999997E-3</v>
      </c>
      <c r="J147" s="74">
        <f>I147*$J$166</f>
        <v>64.533752948244768</v>
      </c>
    </row>
    <row r="148" spans="1:10" x14ac:dyDescent="0.25">
      <c r="A148" s="52"/>
      <c r="B148" s="486" t="s">
        <v>181</v>
      </c>
      <c r="C148" s="486"/>
      <c r="D148" s="486"/>
      <c r="E148" s="486"/>
      <c r="F148" s="486"/>
      <c r="G148" s="486"/>
      <c r="H148" s="486"/>
      <c r="I148" s="58"/>
      <c r="J148" s="74"/>
    </row>
    <row r="149" spans="1:10" x14ac:dyDescent="0.25">
      <c r="A149" s="52"/>
      <c r="B149" s="500" t="s">
        <v>182</v>
      </c>
      <c r="C149" s="500"/>
      <c r="D149" s="500"/>
      <c r="E149" s="500"/>
      <c r="F149" s="500"/>
      <c r="G149" s="500"/>
      <c r="H149" s="500"/>
      <c r="I149" s="99"/>
      <c r="J149" s="74"/>
    </row>
    <row r="150" spans="1:10" x14ac:dyDescent="0.25">
      <c r="A150" s="52"/>
      <c r="B150" s="430" t="s">
        <v>183</v>
      </c>
      <c r="C150" s="431"/>
      <c r="D150" s="431"/>
      <c r="E150" s="431"/>
      <c r="F150" s="431"/>
      <c r="G150" s="431"/>
      <c r="H150" s="432"/>
      <c r="I150" s="100">
        <v>0.05</v>
      </c>
      <c r="J150" s="74">
        <f t="shared" ref="J150" si="3">I150*$J$166</f>
        <v>496.41348421726747</v>
      </c>
    </row>
    <row r="151" spans="1:10" x14ac:dyDescent="0.25">
      <c r="A151" s="52"/>
      <c r="B151" s="454" t="s">
        <v>57</v>
      </c>
      <c r="C151" s="454"/>
      <c r="D151" s="454"/>
      <c r="E151" s="454"/>
      <c r="F151" s="454"/>
      <c r="G151" s="454"/>
      <c r="H151" s="454"/>
      <c r="I151" s="57"/>
      <c r="J151" s="12">
        <f>SUM(J142:J150)</f>
        <v>1815.1881013301381</v>
      </c>
    </row>
    <row r="152" spans="1:10" x14ac:dyDescent="0.25">
      <c r="A152" s="496"/>
      <c r="B152" s="496"/>
      <c r="C152" s="496"/>
      <c r="D152" s="496"/>
      <c r="E152" s="496"/>
      <c r="F152" s="496"/>
      <c r="G152" s="496"/>
      <c r="H152" s="496"/>
      <c r="I152" s="496"/>
      <c r="J152" s="496"/>
    </row>
    <row r="153" spans="1:10" x14ac:dyDescent="0.25">
      <c r="A153" s="459" t="s">
        <v>184</v>
      </c>
      <c r="B153" s="459"/>
      <c r="C153" s="459"/>
      <c r="D153" s="459"/>
      <c r="E153" s="459"/>
      <c r="F153" s="459"/>
      <c r="G153" s="459"/>
      <c r="H153" s="459"/>
      <c r="I153" s="459"/>
      <c r="J153" s="459"/>
    </row>
    <row r="154" spans="1:10" x14ac:dyDescent="0.25">
      <c r="A154" s="459" t="s">
        <v>185</v>
      </c>
      <c r="B154" s="459"/>
      <c r="C154" s="459"/>
      <c r="D154" s="459"/>
      <c r="E154" s="459"/>
      <c r="F154" s="459"/>
      <c r="G154" s="459"/>
      <c r="H154" s="459"/>
      <c r="I154" s="459"/>
      <c r="J154" s="459"/>
    </row>
    <row r="155" spans="1:10" x14ac:dyDescent="0.25">
      <c r="A155" s="496"/>
      <c r="B155" s="496"/>
      <c r="C155" s="496"/>
      <c r="D155" s="496"/>
      <c r="E155" s="496"/>
      <c r="F155" s="496"/>
      <c r="G155" s="496"/>
      <c r="H155" s="496"/>
      <c r="I155" s="496"/>
      <c r="J155" s="496"/>
    </row>
    <row r="156" spans="1:10" x14ac:dyDescent="0.25">
      <c r="A156" s="496"/>
      <c r="B156" s="496"/>
      <c r="C156" s="496"/>
      <c r="D156" s="496"/>
      <c r="E156" s="496"/>
      <c r="F156" s="496"/>
      <c r="G156" s="496"/>
      <c r="H156" s="496"/>
      <c r="I156" s="496"/>
      <c r="J156" s="496"/>
    </row>
    <row r="157" spans="1:10" x14ac:dyDescent="0.25">
      <c r="A157" s="465" t="s">
        <v>186</v>
      </c>
      <c r="B157" s="465"/>
      <c r="C157" s="465"/>
      <c r="D157" s="465"/>
      <c r="E157" s="465"/>
      <c r="F157" s="465"/>
      <c r="G157" s="465"/>
      <c r="H157" s="465"/>
      <c r="I157" s="465"/>
      <c r="J157" s="465"/>
    </row>
    <row r="158" spans="1:10" x14ac:dyDescent="0.25">
      <c r="A158" s="7">
        <v>2</v>
      </c>
      <c r="B158" s="441"/>
      <c r="C158" s="441"/>
      <c r="D158" s="441"/>
      <c r="E158" s="441"/>
      <c r="F158" s="441"/>
      <c r="G158" s="441"/>
      <c r="H158" s="441"/>
      <c r="I158" s="441"/>
      <c r="J158" s="164" t="s">
        <v>15</v>
      </c>
    </row>
    <row r="159" spans="1:10" x14ac:dyDescent="0.25">
      <c r="A159" s="52" t="s">
        <v>23</v>
      </c>
      <c r="B159" s="448" t="s">
        <v>187</v>
      </c>
      <c r="C159" s="448"/>
      <c r="D159" s="448"/>
      <c r="E159" s="448"/>
      <c r="F159" s="448"/>
      <c r="G159" s="448"/>
      <c r="H159" s="448"/>
      <c r="I159" s="448"/>
      <c r="J159" s="74">
        <f>J37</f>
        <v>3829.0119999999993</v>
      </c>
    </row>
    <row r="160" spans="1:10" x14ac:dyDescent="0.25">
      <c r="A160" s="52" t="s">
        <v>30</v>
      </c>
      <c r="B160" s="448" t="s">
        <v>109</v>
      </c>
      <c r="C160" s="448"/>
      <c r="D160" s="448"/>
      <c r="E160" s="448"/>
      <c r="F160" s="448"/>
      <c r="G160" s="448"/>
      <c r="H160" s="448"/>
      <c r="I160" s="448"/>
      <c r="J160" s="74">
        <f>J90</f>
        <v>3039.8636040703996</v>
      </c>
    </row>
    <row r="161" spans="1:10" x14ac:dyDescent="0.25">
      <c r="A161" s="52" t="s">
        <v>32</v>
      </c>
      <c r="B161" s="448" t="s">
        <v>151</v>
      </c>
      <c r="C161" s="448"/>
      <c r="D161" s="448"/>
      <c r="E161" s="448"/>
      <c r="F161" s="448"/>
      <c r="G161" s="448"/>
      <c r="H161" s="448"/>
      <c r="I161" s="448"/>
      <c r="J161" s="74">
        <f>J101</f>
        <v>272.14779370240001</v>
      </c>
    </row>
    <row r="162" spans="1:10" x14ac:dyDescent="0.25">
      <c r="A162" s="52" t="s">
        <v>25</v>
      </c>
      <c r="B162" s="448" t="s">
        <v>158</v>
      </c>
      <c r="C162" s="448"/>
      <c r="D162" s="448"/>
      <c r="E162" s="448"/>
      <c r="F162" s="448"/>
      <c r="G162" s="448"/>
      <c r="H162" s="448"/>
      <c r="I162" s="448"/>
      <c r="J162" s="74">
        <f>J128</f>
        <v>972.05818524241113</v>
      </c>
    </row>
    <row r="163" spans="1:10" x14ac:dyDescent="0.25">
      <c r="A163" s="52" t="s">
        <v>20</v>
      </c>
      <c r="B163" s="455" t="s">
        <v>188</v>
      </c>
      <c r="C163" s="448"/>
      <c r="D163" s="448"/>
      <c r="E163" s="448"/>
      <c r="F163" s="448"/>
      <c r="G163" s="448"/>
      <c r="H163" s="448"/>
      <c r="I163" s="448"/>
      <c r="J163" s="74">
        <f>J136</f>
        <v>0</v>
      </c>
    </row>
    <row r="164" spans="1:10" x14ac:dyDescent="0.25">
      <c r="A164" s="454" t="s">
        <v>189</v>
      </c>
      <c r="B164" s="454"/>
      <c r="C164" s="454"/>
      <c r="D164" s="454"/>
      <c r="E164" s="454"/>
      <c r="F164" s="454"/>
      <c r="G164" s="454"/>
      <c r="H164" s="454"/>
      <c r="I164" s="454"/>
      <c r="J164" s="75">
        <f>SUM(J159:J163)</f>
        <v>8113.0815830152105</v>
      </c>
    </row>
    <row r="165" spans="1:10" x14ac:dyDescent="0.25">
      <c r="A165" s="52" t="s">
        <v>37</v>
      </c>
      <c r="B165" s="448" t="s">
        <v>190</v>
      </c>
      <c r="C165" s="448"/>
      <c r="D165" s="448"/>
      <c r="E165" s="448"/>
      <c r="F165" s="448"/>
      <c r="G165" s="448"/>
      <c r="H165" s="448"/>
      <c r="I165" s="448"/>
      <c r="J165" s="74">
        <f>J151</f>
        <v>1815.1881013301381</v>
      </c>
    </row>
    <row r="166" spans="1:10" x14ac:dyDescent="0.25">
      <c r="A166" s="466" t="s">
        <v>191</v>
      </c>
      <c r="B166" s="481"/>
      <c r="C166" s="481"/>
      <c r="D166" s="481"/>
      <c r="E166" s="481"/>
      <c r="F166" s="481"/>
      <c r="G166" s="481"/>
      <c r="H166" s="481"/>
      <c r="I166" s="505"/>
      <c r="J166" s="394">
        <f>(J142+J143+J164)/0.9135</f>
        <v>9928.2696843453487</v>
      </c>
    </row>
    <row r="167" spans="1:10" x14ac:dyDescent="0.25">
      <c r="A167" s="601" t="s">
        <v>381</v>
      </c>
      <c r="B167" s="601"/>
      <c r="C167" s="601"/>
      <c r="D167" s="601"/>
      <c r="E167" s="601"/>
      <c r="F167" s="601"/>
      <c r="G167" s="601"/>
      <c r="H167" s="601"/>
      <c r="I167" s="601"/>
      <c r="J167" s="397">
        <f>J166/40</f>
        <v>248.2067421086337</v>
      </c>
    </row>
    <row r="168" spans="1:10" hidden="1" x14ac:dyDescent="0.25">
      <c r="A168" s="506"/>
      <c r="B168" s="506"/>
      <c r="C168" s="506"/>
      <c r="D168" s="506"/>
      <c r="E168" s="506"/>
      <c r="F168" s="506"/>
      <c r="G168" s="506"/>
      <c r="H168" s="506"/>
      <c r="I168" s="506"/>
      <c r="J168" s="506"/>
    </row>
    <row r="169" spans="1:10" hidden="1" x14ac:dyDescent="0.25">
      <c r="A169" s="429" t="s">
        <v>192</v>
      </c>
      <c r="B169" s="429"/>
      <c r="C169" s="429"/>
      <c r="D169" s="429"/>
      <c r="E169" s="429"/>
      <c r="F169" s="429"/>
      <c r="G169" s="429"/>
      <c r="H169" s="429"/>
      <c r="I169" s="429"/>
      <c r="J169" s="429"/>
    </row>
    <row r="170" spans="1:10" ht="48" hidden="1" customHeight="1" x14ac:dyDescent="0.25">
      <c r="A170" s="405" t="s">
        <v>193</v>
      </c>
      <c r="B170" s="405"/>
      <c r="C170" s="405"/>
      <c r="D170" s="405" t="s">
        <v>194</v>
      </c>
      <c r="E170" s="405"/>
      <c r="F170" s="102" t="s">
        <v>195</v>
      </c>
      <c r="G170" s="405" t="s">
        <v>196</v>
      </c>
      <c r="H170" s="405"/>
      <c r="I170" s="102" t="s">
        <v>197</v>
      </c>
      <c r="J170" s="395" t="s">
        <v>198</v>
      </c>
    </row>
    <row r="171" spans="1:10" ht="32.25" hidden="1" customHeight="1" x14ac:dyDescent="0.25">
      <c r="A171" s="405" t="s">
        <v>199</v>
      </c>
      <c r="B171" s="405"/>
      <c r="C171" s="405"/>
      <c r="D171" s="405" t="s">
        <v>200</v>
      </c>
      <c r="E171" s="405"/>
      <c r="F171" s="102" t="s">
        <v>201</v>
      </c>
      <c r="G171" s="405" t="s">
        <v>202</v>
      </c>
      <c r="H171" s="405"/>
      <c r="I171" s="102" t="s">
        <v>203</v>
      </c>
      <c r="J171" s="395" t="s">
        <v>204</v>
      </c>
    </row>
    <row r="172" spans="1:10" s="45" customFormat="1" ht="92.25" hidden="1" customHeight="1" x14ac:dyDescent="0.25">
      <c r="A172" s="104" t="s">
        <v>205</v>
      </c>
      <c r="B172" s="409" t="str">
        <f>A13</f>
        <v xml:space="preserve">Supervisor/encarregado/chefia de campo de vigilância - 12xr 36 Noturno
</v>
      </c>
      <c r="C172" s="409"/>
      <c r="D172" s="410">
        <f>J166</f>
        <v>9928.2696843453487</v>
      </c>
      <c r="E172" s="409"/>
      <c r="F172" s="104">
        <v>2</v>
      </c>
      <c r="G172" s="411">
        <f>D172*F172</f>
        <v>19856.539368690697</v>
      </c>
      <c r="H172" s="412"/>
      <c r="I172" s="104">
        <v>5</v>
      </c>
      <c r="J172" s="396">
        <f>G172*I172</f>
        <v>99282.696843453479</v>
      </c>
    </row>
  </sheetData>
  <mergeCells count="192">
    <mergeCell ref="B7:F7"/>
    <mergeCell ref="G7:J7"/>
    <mergeCell ref="B8:F8"/>
    <mergeCell ref="G8:J8"/>
    <mergeCell ref="B9:F9"/>
    <mergeCell ref="G9:J9"/>
    <mergeCell ref="A1:J1"/>
    <mergeCell ref="A2:J2"/>
    <mergeCell ref="A3:J3"/>
    <mergeCell ref="A4:J4"/>
    <mergeCell ref="A5:J5"/>
    <mergeCell ref="B6:F6"/>
    <mergeCell ref="G6:J6"/>
    <mergeCell ref="A14:J14"/>
    <mergeCell ref="A15:J15"/>
    <mergeCell ref="A16:J16"/>
    <mergeCell ref="A17:J17"/>
    <mergeCell ref="A18:J18"/>
    <mergeCell ref="B19:G19"/>
    <mergeCell ref="H19:J19"/>
    <mergeCell ref="A10:J10"/>
    <mergeCell ref="A11:J11"/>
    <mergeCell ref="A12:G12"/>
    <mergeCell ref="H12:I12"/>
    <mergeCell ref="A13:G13"/>
    <mergeCell ref="H13:I13"/>
    <mergeCell ref="B23:G23"/>
    <mergeCell ref="H23:J23"/>
    <mergeCell ref="B24:G24"/>
    <mergeCell ref="H24:J24"/>
    <mergeCell ref="B25:G25"/>
    <mergeCell ref="H25:J25"/>
    <mergeCell ref="B20:G20"/>
    <mergeCell ref="H20:J20"/>
    <mergeCell ref="B21:G21"/>
    <mergeCell ref="H21:J21"/>
    <mergeCell ref="B22:G22"/>
    <mergeCell ref="H22:J22"/>
    <mergeCell ref="A29:J29"/>
    <mergeCell ref="A31:J31"/>
    <mergeCell ref="B32:I32"/>
    <mergeCell ref="B33:I33"/>
    <mergeCell ref="B34:I34"/>
    <mergeCell ref="B35:I35"/>
    <mergeCell ref="B26:G26"/>
    <mergeCell ref="H26:J26"/>
    <mergeCell ref="B27:G27"/>
    <mergeCell ref="H27:J27"/>
    <mergeCell ref="B28:G28"/>
    <mergeCell ref="H28:J28"/>
    <mergeCell ref="A41:J41"/>
    <mergeCell ref="A42:J42"/>
    <mergeCell ref="A44:J44"/>
    <mergeCell ref="B45:I45"/>
    <mergeCell ref="B46:H46"/>
    <mergeCell ref="B47:H47"/>
    <mergeCell ref="B36:I36"/>
    <mergeCell ref="B37:I37"/>
    <mergeCell ref="A38:J38"/>
    <mergeCell ref="A39:J39"/>
    <mergeCell ref="A40:J40"/>
    <mergeCell ref="A54:J54"/>
    <mergeCell ref="B55:H55"/>
    <mergeCell ref="B56:H56"/>
    <mergeCell ref="B57:H57"/>
    <mergeCell ref="B58:H58"/>
    <mergeCell ref="B59:H59"/>
    <mergeCell ref="A48:H48"/>
    <mergeCell ref="A49:J49"/>
    <mergeCell ref="A50:J50"/>
    <mergeCell ref="A51:J51"/>
    <mergeCell ref="A52:J52"/>
    <mergeCell ref="A53:J53"/>
    <mergeCell ref="A66:J66"/>
    <mergeCell ref="A67:J67"/>
    <mergeCell ref="A68:J68"/>
    <mergeCell ref="A69:J69"/>
    <mergeCell ref="A70:J70"/>
    <mergeCell ref="B71:I71"/>
    <mergeCell ref="B60:H60"/>
    <mergeCell ref="B61:H61"/>
    <mergeCell ref="B62:H62"/>
    <mergeCell ref="B63:H63"/>
    <mergeCell ref="A64:H64"/>
    <mergeCell ref="A65:J65"/>
    <mergeCell ref="A80:J80"/>
    <mergeCell ref="A81:J81"/>
    <mergeCell ref="A82:J82"/>
    <mergeCell ref="A83:J83"/>
    <mergeCell ref="A84:J84"/>
    <mergeCell ref="A85:J85"/>
    <mergeCell ref="B72:I72"/>
    <mergeCell ref="B73:I73"/>
    <mergeCell ref="B74:I74"/>
    <mergeCell ref="B75:I75"/>
    <mergeCell ref="B76:I76"/>
    <mergeCell ref="B79:I79"/>
    <mergeCell ref="B78:I78"/>
    <mergeCell ref="B77:I77"/>
    <mergeCell ref="A92:J92"/>
    <mergeCell ref="A93:J93"/>
    <mergeCell ref="B94:H94"/>
    <mergeCell ref="B95:H95"/>
    <mergeCell ref="B96:H96"/>
    <mergeCell ref="B97:H97"/>
    <mergeCell ref="B86:I86"/>
    <mergeCell ref="B87:I87"/>
    <mergeCell ref="B88:I88"/>
    <mergeCell ref="B89:I89"/>
    <mergeCell ref="B90:I90"/>
    <mergeCell ref="A91:J91"/>
    <mergeCell ref="A104:J104"/>
    <mergeCell ref="A105:J105"/>
    <mergeCell ref="A106:J106"/>
    <mergeCell ref="A107:J107"/>
    <mergeCell ref="A108:J108"/>
    <mergeCell ref="A109:J109"/>
    <mergeCell ref="B98:H98"/>
    <mergeCell ref="B99:H99"/>
    <mergeCell ref="B100:H100"/>
    <mergeCell ref="B101:H101"/>
    <mergeCell ref="A102:J102"/>
    <mergeCell ref="A103:J103"/>
    <mergeCell ref="B116:H116"/>
    <mergeCell ref="A117:I117"/>
    <mergeCell ref="A118:J118"/>
    <mergeCell ref="A119:J119"/>
    <mergeCell ref="B120:H120"/>
    <mergeCell ref="B121:H121"/>
    <mergeCell ref="B110:H110"/>
    <mergeCell ref="B111:H111"/>
    <mergeCell ref="B112:H112"/>
    <mergeCell ref="B113:H113"/>
    <mergeCell ref="B114:H114"/>
    <mergeCell ref="B115:H115"/>
    <mergeCell ref="A128:I128"/>
    <mergeCell ref="A129:J129"/>
    <mergeCell ref="A130:J130"/>
    <mergeCell ref="B131:I131"/>
    <mergeCell ref="B132:I132"/>
    <mergeCell ref="B133:I133"/>
    <mergeCell ref="A122:H122"/>
    <mergeCell ref="A123:J123"/>
    <mergeCell ref="A124:J124"/>
    <mergeCell ref="B125:I125"/>
    <mergeCell ref="B126:I126"/>
    <mergeCell ref="B127:I127"/>
    <mergeCell ref="A140:J140"/>
    <mergeCell ref="B141:H141"/>
    <mergeCell ref="B142:H142"/>
    <mergeCell ref="B143:H143"/>
    <mergeCell ref="B144:H144"/>
    <mergeCell ref="B145:H145"/>
    <mergeCell ref="B134:I134"/>
    <mergeCell ref="B135:I135"/>
    <mergeCell ref="B136:I136"/>
    <mergeCell ref="A137:J137"/>
    <mergeCell ref="A138:J138"/>
    <mergeCell ref="A139:J139"/>
    <mergeCell ref="A152:J152"/>
    <mergeCell ref="A153:J153"/>
    <mergeCell ref="A154:J154"/>
    <mergeCell ref="A155:J155"/>
    <mergeCell ref="A156:J156"/>
    <mergeCell ref="A157:J157"/>
    <mergeCell ref="B146:H146"/>
    <mergeCell ref="B147:H147"/>
    <mergeCell ref="B148:H148"/>
    <mergeCell ref="B149:H149"/>
    <mergeCell ref="B150:H150"/>
    <mergeCell ref="B151:H151"/>
    <mergeCell ref="A164:I164"/>
    <mergeCell ref="B165:I165"/>
    <mergeCell ref="A166:I166"/>
    <mergeCell ref="A168:J168"/>
    <mergeCell ref="A169:J169"/>
    <mergeCell ref="B158:I158"/>
    <mergeCell ref="B159:I159"/>
    <mergeCell ref="B160:I160"/>
    <mergeCell ref="B161:I161"/>
    <mergeCell ref="B162:I162"/>
    <mergeCell ref="B163:I163"/>
    <mergeCell ref="A167:I167"/>
    <mergeCell ref="B172:C172"/>
    <mergeCell ref="D172:E172"/>
    <mergeCell ref="G172:H172"/>
    <mergeCell ref="A170:C170"/>
    <mergeCell ref="D170:E170"/>
    <mergeCell ref="G170:H170"/>
    <mergeCell ref="A171:C171"/>
    <mergeCell ref="D171:E171"/>
    <mergeCell ref="G171:H171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1" manualBreakCount="1">
    <brk id="106" max="9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77"/>
  <sheetViews>
    <sheetView view="pageBreakPreview" topLeftCell="A128" zoomScaleNormal="100" zoomScaleSheetLayoutView="100" workbookViewId="0">
      <selection activeCell="I147" sqref="I147"/>
    </sheetView>
  </sheetViews>
  <sheetFormatPr defaultRowHeight="15" x14ac:dyDescent="0.25"/>
  <cols>
    <col min="1" max="1" width="7.5703125" customWidth="1"/>
    <col min="2" max="2" width="10.28515625" customWidth="1"/>
    <col min="3" max="3" width="22.85546875" customWidth="1"/>
    <col min="4" max="4" width="11.7109375" customWidth="1"/>
    <col min="5" max="5" width="11.140625" customWidth="1"/>
    <col min="6" max="6" width="13.42578125" customWidth="1"/>
    <col min="7" max="7" width="10.7109375" customWidth="1"/>
    <col min="8" max="8" width="8" customWidth="1"/>
    <col min="9" max="9" width="17.140625" customWidth="1"/>
    <col min="10" max="10" width="21.5703125" customWidth="1"/>
    <col min="11" max="11" width="11.85546875" bestFit="1" customWidth="1"/>
    <col min="12" max="12" width="9.5703125" bestFit="1" customWidth="1"/>
    <col min="14" max="14" width="15.28515625" customWidth="1"/>
    <col min="15" max="15" width="15" customWidth="1"/>
    <col min="17" max="17" width="14.5703125" customWidth="1"/>
    <col min="20" max="20" width="10.5703125" bestFit="1" customWidth="1"/>
  </cols>
  <sheetData>
    <row r="1" spans="1:10" x14ac:dyDescent="0.25">
      <c r="A1" s="421" t="s">
        <v>70</v>
      </c>
      <c r="B1" s="421"/>
      <c r="C1" s="421"/>
      <c r="D1" s="421"/>
      <c r="E1" s="421"/>
      <c r="F1" s="421"/>
      <c r="G1" s="421"/>
      <c r="H1" s="421"/>
      <c r="I1" s="421"/>
      <c r="J1" s="421"/>
    </row>
    <row r="2" spans="1:10" s="47" customFormat="1" ht="24.6" customHeight="1" x14ac:dyDescent="0.25">
      <c r="A2" s="422" t="s">
        <v>360</v>
      </c>
      <c r="B2" s="422"/>
      <c r="C2" s="422"/>
      <c r="D2" s="422"/>
      <c r="E2" s="422"/>
      <c r="F2" s="422"/>
      <c r="G2" s="422"/>
      <c r="H2" s="422"/>
      <c r="I2" s="422"/>
      <c r="J2" s="422"/>
    </row>
    <row r="3" spans="1:10" ht="24.6" customHeight="1" x14ac:dyDescent="0.25">
      <c r="A3" s="423" t="s">
        <v>71</v>
      </c>
      <c r="B3" s="424"/>
      <c r="C3" s="424"/>
      <c r="D3" s="424"/>
      <c r="E3" s="424"/>
      <c r="F3" s="424"/>
      <c r="G3" s="424"/>
      <c r="H3" s="424"/>
      <c r="I3" s="424"/>
      <c r="J3" s="425"/>
    </row>
    <row r="4" spans="1:10" x14ac:dyDescent="0.25">
      <c r="A4" s="426"/>
      <c r="B4" s="427"/>
      <c r="C4" s="427"/>
      <c r="D4" s="427"/>
      <c r="E4" s="427"/>
      <c r="F4" s="427"/>
      <c r="G4" s="427"/>
      <c r="H4" s="427"/>
      <c r="I4" s="427"/>
      <c r="J4" s="428"/>
    </row>
    <row r="5" spans="1:10" x14ac:dyDescent="0.25">
      <c r="A5" s="429" t="s">
        <v>72</v>
      </c>
      <c r="B5" s="429"/>
      <c r="C5" s="429"/>
      <c r="D5" s="429"/>
      <c r="E5" s="429"/>
      <c r="F5" s="429"/>
      <c r="G5" s="429"/>
      <c r="H5" s="429"/>
      <c r="I5" s="429"/>
      <c r="J5" s="429"/>
    </row>
    <row r="6" spans="1:10" x14ac:dyDescent="0.25">
      <c r="A6" s="49" t="s">
        <v>23</v>
      </c>
      <c r="B6" s="430" t="s">
        <v>73</v>
      </c>
      <c r="C6" s="431"/>
      <c r="D6" s="431"/>
      <c r="E6" s="431"/>
      <c r="F6" s="432"/>
      <c r="G6" s="433"/>
      <c r="H6" s="434"/>
      <c r="I6" s="434"/>
      <c r="J6" s="435"/>
    </row>
    <row r="7" spans="1:10" x14ac:dyDescent="0.25">
      <c r="A7" s="49" t="s">
        <v>30</v>
      </c>
      <c r="B7" s="442" t="s">
        <v>74</v>
      </c>
      <c r="C7" s="443"/>
      <c r="D7" s="443"/>
      <c r="E7" s="443"/>
      <c r="F7" s="444"/>
      <c r="G7" s="445" t="s">
        <v>75</v>
      </c>
      <c r="H7" s="446"/>
      <c r="I7" s="446"/>
      <c r="J7" s="447"/>
    </row>
    <row r="8" spans="1:10" x14ac:dyDescent="0.25">
      <c r="A8" s="49" t="s">
        <v>32</v>
      </c>
      <c r="B8" s="442" t="s">
        <v>76</v>
      </c>
      <c r="C8" s="443"/>
      <c r="D8" s="443"/>
      <c r="E8" s="443"/>
      <c r="F8" s="444"/>
      <c r="G8" s="445" t="s">
        <v>77</v>
      </c>
      <c r="H8" s="446"/>
      <c r="I8" s="446"/>
      <c r="J8" s="447"/>
    </row>
    <row r="9" spans="1:10" x14ac:dyDescent="0.25">
      <c r="A9" s="49" t="s">
        <v>25</v>
      </c>
      <c r="B9" s="430" t="s">
        <v>78</v>
      </c>
      <c r="C9" s="431"/>
      <c r="D9" s="431"/>
      <c r="E9" s="431"/>
      <c r="F9" s="432"/>
      <c r="G9" s="445">
        <v>12</v>
      </c>
      <c r="H9" s="446"/>
      <c r="I9" s="446"/>
      <c r="J9" s="447"/>
    </row>
    <row r="10" spans="1:10" x14ac:dyDescent="0.25">
      <c r="A10" s="426"/>
      <c r="B10" s="427"/>
      <c r="C10" s="427"/>
      <c r="D10" s="427"/>
      <c r="E10" s="427"/>
      <c r="F10" s="427"/>
      <c r="G10" s="427"/>
      <c r="H10" s="427"/>
      <c r="I10" s="427"/>
      <c r="J10" s="428"/>
    </row>
    <row r="11" spans="1:10" x14ac:dyDescent="0.25">
      <c r="A11" s="436" t="s">
        <v>79</v>
      </c>
      <c r="B11" s="437"/>
      <c r="C11" s="437"/>
      <c r="D11" s="437"/>
      <c r="E11" s="437"/>
      <c r="F11" s="437"/>
      <c r="G11" s="437"/>
      <c r="H11" s="437"/>
      <c r="I11" s="437"/>
      <c r="J11" s="438"/>
    </row>
    <row r="12" spans="1:10" ht="25.5" x14ac:dyDescent="0.25">
      <c r="A12" s="439" t="s">
        <v>80</v>
      </c>
      <c r="B12" s="439"/>
      <c r="C12" s="439"/>
      <c r="D12" s="439"/>
      <c r="E12" s="439"/>
      <c r="F12" s="439"/>
      <c r="G12" s="439"/>
      <c r="H12" s="439" t="s">
        <v>81</v>
      </c>
      <c r="I12" s="439"/>
      <c r="J12" s="3" t="s">
        <v>82</v>
      </c>
    </row>
    <row r="13" spans="1:10" x14ac:dyDescent="0.25">
      <c r="A13" s="440" t="s">
        <v>206</v>
      </c>
      <c r="B13" s="440"/>
      <c r="C13" s="440"/>
      <c r="D13" s="440"/>
      <c r="E13" s="440"/>
      <c r="F13" s="440"/>
      <c r="G13" s="440"/>
      <c r="H13" s="441" t="s">
        <v>84</v>
      </c>
      <c r="I13" s="441"/>
      <c r="J13" s="52">
        <v>2</v>
      </c>
    </row>
    <row r="14" spans="1:10" x14ac:dyDescent="0.25">
      <c r="A14" s="426"/>
      <c r="B14" s="427"/>
      <c r="C14" s="427"/>
      <c r="D14" s="427"/>
      <c r="E14" s="427"/>
      <c r="F14" s="427"/>
      <c r="G14" s="427"/>
      <c r="H14" s="427"/>
      <c r="I14" s="427"/>
      <c r="J14" s="428"/>
    </row>
    <row r="15" spans="1:10" x14ac:dyDescent="0.25">
      <c r="A15" s="451" t="s">
        <v>85</v>
      </c>
      <c r="B15" s="452"/>
      <c r="C15" s="452"/>
      <c r="D15" s="452"/>
      <c r="E15" s="452"/>
      <c r="F15" s="452"/>
      <c r="G15" s="452"/>
      <c r="H15" s="452"/>
      <c r="I15" s="452"/>
      <c r="J15" s="453"/>
    </row>
    <row r="16" spans="1:10" x14ac:dyDescent="0.25">
      <c r="A16" s="430" t="s">
        <v>86</v>
      </c>
      <c r="B16" s="431"/>
      <c r="C16" s="431"/>
      <c r="D16" s="431"/>
      <c r="E16" s="431"/>
      <c r="F16" s="431"/>
      <c r="G16" s="431"/>
      <c r="H16" s="431"/>
      <c r="I16" s="431"/>
      <c r="J16" s="432"/>
    </row>
    <row r="17" spans="1:13" x14ac:dyDescent="0.25">
      <c r="A17" s="430" t="s">
        <v>87</v>
      </c>
      <c r="B17" s="431"/>
      <c r="C17" s="431"/>
      <c r="D17" s="431"/>
      <c r="E17" s="431"/>
      <c r="F17" s="431"/>
      <c r="G17" s="431"/>
      <c r="H17" s="431"/>
      <c r="I17" s="431"/>
      <c r="J17" s="432"/>
    </row>
    <row r="18" spans="1:13" x14ac:dyDescent="0.25">
      <c r="A18" s="454" t="s">
        <v>88</v>
      </c>
      <c r="B18" s="454"/>
      <c r="C18" s="454"/>
      <c r="D18" s="454"/>
      <c r="E18" s="454"/>
      <c r="F18" s="454"/>
      <c r="G18" s="454"/>
      <c r="H18" s="454"/>
      <c r="I18" s="454"/>
      <c r="J18" s="454"/>
      <c r="M18" t="s">
        <v>36</v>
      </c>
    </row>
    <row r="19" spans="1:13" ht="60" customHeight="1" x14ac:dyDescent="0.25">
      <c r="A19" s="52">
        <v>1</v>
      </c>
      <c r="B19" s="448" t="s">
        <v>89</v>
      </c>
      <c r="C19" s="448"/>
      <c r="D19" s="448"/>
      <c r="E19" s="448"/>
      <c r="F19" s="448"/>
      <c r="G19" s="448"/>
      <c r="H19" s="455" t="s">
        <v>361</v>
      </c>
      <c r="I19" s="455"/>
      <c r="J19" s="455"/>
    </row>
    <row r="20" spans="1:13" ht="27.75" customHeight="1" x14ac:dyDescent="0.25">
      <c r="A20" s="52">
        <v>2</v>
      </c>
      <c r="B20" s="448" t="s">
        <v>91</v>
      </c>
      <c r="C20" s="448"/>
      <c r="D20" s="448"/>
      <c r="E20" s="448"/>
      <c r="F20" s="448"/>
      <c r="G20" s="448"/>
      <c r="H20" s="440" t="s">
        <v>92</v>
      </c>
      <c r="I20" s="440"/>
      <c r="J20" s="440"/>
    </row>
    <row r="21" spans="1:13" x14ac:dyDescent="0.25">
      <c r="A21" s="52">
        <v>3</v>
      </c>
      <c r="B21" s="448" t="s">
        <v>93</v>
      </c>
      <c r="C21" s="448"/>
      <c r="D21" s="448"/>
      <c r="E21" s="448"/>
      <c r="F21" s="448"/>
      <c r="G21" s="448"/>
      <c r="H21" s="449">
        <v>1702.49</v>
      </c>
      <c r="I21" s="450"/>
      <c r="J21" s="450"/>
      <c r="L21" s="53"/>
    </row>
    <row r="22" spans="1:13" x14ac:dyDescent="0.25">
      <c r="A22" s="52">
        <v>4</v>
      </c>
      <c r="B22" s="448" t="s">
        <v>94</v>
      </c>
      <c r="C22" s="448"/>
      <c r="D22" s="448"/>
      <c r="E22" s="448"/>
      <c r="F22" s="448"/>
      <c r="G22" s="448"/>
      <c r="H22" s="440" t="s">
        <v>95</v>
      </c>
      <c r="I22" s="441"/>
      <c r="J22" s="441"/>
    </row>
    <row r="23" spans="1:13" x14ac:dyDescent="0.25">
      <c r="A23" s="52">
        <v>5</v>
      </c>
      <c r="B23" s="448" t="s">
        <v>96</v>
      </c>
      <c r="C23" s="448"/>
      <c r="D23" s="448"/>
      <c r="E23" s="448"/>
      <c r="F23" s="448"/>
      <c r="G23" s="448"/>
      <c r="H23" s="456">
        <v>44197</v>
      </c>
      <c r="I23" s="441"/>
      <c r="J23" s="441"/>
    </row>
    <row r="24" spans="1:13" x14ac:dyDescent="0.25">
      <c r="A24" s="52">
        <v>6</v>
      </c>
      <c r="B24" s="448" t="s">
        <v>97</v>
      </c>
      <c r="C24" s="448"/>
      <c r="D24" s="448"/>
      <c r="E24" s="448"/>
      <c r="F24" s="448"/>
      <c r="G24" s="448"/>
      <c r="H24" s="450"/>
      <c r="I24" s="450"/>
      <c r="J24" s="450"/>
    </row>
    <row r="25" spans="1:13" x14ac:dyDescent="0.25">
      <c r="A25" s="52">
        <v>7</v>
      </c>
      <c r="B25" s="448" t="s">
        <v>98</v>
      </c>
      <c r="C25" s="448"/>
      <c r="D25" s="448"/>
      <c r="E25" s="448"/>
      <c r="F25" s="448"/>
      <c r="G25" s="448"/>
      <c r="H25" s="450">
        <v>2.0099999999999998</v>
      </c>
      <c r="I25" s="450"/>
      <c r="J25" s="450"/>
    </row>
    <row r="26" spans="1:13" x14ac:dyDescent="0.25">
      <c r="A26" s="52">
        <v>8</v>
      </c>
      <c r="B26" s="448" t="s">
        <v>99</v>
      </c>
      <c r="C26" s="448"/>
      <c r="D26" s="448"/>
      <c r="E26" s="448"/>
      <c r="F26" s="448"/>
      <c r="G26" s="448"/>
      <c r="H26" s="450"/>
      <c r="I26" s="450"/>
      <c r="J26" s="450"/>
    </row>
    <row r="27" spans="1:13" x14ac:dyDescent="0.25">
      <c r="A27" s="52">
        <v>9</v>
      </c>
      <c r="B27" s="430" t="s">
        <v>100</v>
      </c>
      <c r="C27" s="431"/>
      <c r="D27" s="431"/>
      <c r="E27" s="431"/>
      <c r="F27" s="431"/>
      <c r="G27" s="432"/>
      <c r="H27" s="450">
        <v>18.11</v>
      </c>
      <c r="I27" s="450"/>
      <c r="J27" s="450"/>
    </row>
    <row r="28" spans="1:13" x14ac:dyDescent="0.25">
      <c r="A28" s="52">
        <v>10</v>
      </c>
      <c r="B28" s="448" t="s">
        <v>101</v>
      </c>
      <c r="C28" s="448"/>
      <c r="D28" s="448"/>
      <c r="E28" s="448"/>
      <c r="F28" s="448"/>
      <c r="G28" s="448"/>
      <c r="H28" s="450"/>
      <c r="I28" s="450"/>
      <c r="J28" s="450"/>
    </row>
    <row r="29" spans="1:13" x14ac:dyDescent="0.25">
      <c r="A29" s="8">
        <v>11</v>
      </c>
      <c r="B29" s="106"/>
      <c r="C29" s="106"/>
      <c r="D29" s="106"/>
      <c r="E29" s="106"/>
      <c r="F29" s="106"/>
      <c r="G29" s="106"/>
      <c r="H29" s="107"/>
      <c r="I29" s="107"/>
      <c r="J29" s="108"/>
    </row>
    <row r="30" spans="1:13" x14ac:dyDescent="0.25">
      <c r="A30" s="426"/>
      <c r="B30" s="427"/>
      <c r="C30" s="427"/>
      <c r="D30" s="427"/>
      <c r="E30" s="427"/>
      <c r="F30" s="427"/>
      <c r="G30" s="427"/>
      <c r="H30" s="427"/>
      <c r="I30" s="427"/>
      <c r="J30" s="428"/>
    </row>
    <row r="31" spans="1:13" ht="21" customHeight="1" x14ac:dyDescent="0.25">
      <c r="A31" s="54"/>
      <c r="B31" s="55"/>
      <c r="C31" s="55"/>
      <c r="D31" s="55"/>
      <c r="E31" s="55"/>
      <c r="F31" s="55"/>
      <c r="G31" s="55"/>
      <c r="H31" s="55"/>
      <c r="I31" s="55"/>
      <c r="J31" s="56"/>
    </row>
    <row r="32" spans="1:13" x14ac:dyDescent="0.25">
      <c r="A32" s="465" t="s">
        <v>102</v>
      </c>
      <c r="B32" s="465"/>
      <c r="C32" s="465"/>
      <c r="D32" s="465"/>
      <c r="E32" s="465"/>
      <c r="F32" s="465"/>
      <c r="G32" s="465"/>
      <c r="H32" s="465"/>
      <c r="I32" s="465"/>
      <c r="J32" s="466"/>
    </row>
    <row r="33" spans="1:15" x14ac:dyDescent="0.25">
      <c r="A33" s="57">
        <v>1</v>
      </c>
      <c r="B33" s="445" t="s">
        <v>103</v>
      </c>
      <c r="C33" s="446"/>
      <c r="D33" s="446"/>
      <c r="E33" s="446"/>
      <c r="F33" s="446"/>
      <c r="G33" s="446"/>
      <c r="H33" s="446"/>
      <c r="I33" s="447"/>
      <c r="J33" s="5" t="s">
        <v>15</v>
      </c>
    </row>
    <row r="34" spans="1:15" ht="18.600000000000001" customHeight="1" x14ac:dyDescent="0.25">
      <c r="A34" s="52" t="s">
        <v>23</v>
      </c>
      <c r="B34" s="430" t="s">
        <v>104</v>
      </c>
      <c r="C34" s="431"/>
      <c r="D34" s="431"/>
      <c r="E34" s="431"/>
      <c r="F34" s="431"/>
      <c r="G34" s="431"/>
      <c r="H34" s="431"/>
      <c r="I34" s="432"/>
      <c r="J34" s="58">
        <f>H21</f>
        <v>1702.49</v>
      </c>
      <c r="K34" s="53"/>
      <c r="L34" s="53"/>
      <c r="M34" s="129"/>
      <c r="N34" s="114"/>
      <c r="O34" s="53"/>
    </row>
    <row r="35" spans="1:15" ht="18" customHeight="1" x14ac:dyDescent="0.25">
      <c r="A35" s="52" t="s">
        <v>30</v>
      </c>
      <c r="B35" s="430" t="s">
        <v>105</v>
      </c>
      <c r="C35" s="431"/>
      <c r="D35" s="431"/>
      <c r="E35" s="431"/>
      <c r="F35" s="431"/>
      <c r="G35" s="431"/>
      <c r="H35" s="431"/>
      <c r="I35" s="432"/>
      <c r="J35" s="58">
        <f>30%*J34</f>
        <v>510.74699999999996</v>
      </c>
      <c r="L35" s="53"/>
      <c r="M35" s="129"/>
      <c r="N35" s="114"/>
    </row>
    <row r="36" spans="1:15" ht="18" customHeight="1" x14ac:dyDescent="0.25">
      <c r="A36" s="59" t="s">
        <v>32</v>
      </c>
      <c r="B36" s="430" t="s">
        <v>238</v>
      </c>
      <c r="C36" s="431"/>
      <c r="D36" s="431"/>
      <c r="E36" s="431"/>
      <c r="F36" s="431"/>
      <c r="G36" s="431"/>
      <c r="H36" s="431"/>
      <c r="I36" s="432"/>
      <c r="J36" s="109">
        <f>60/52.5*7*15*H25</f>
        <v>241.2</v>
      </c>
      <c r="M36" s="53"/>
    </row>
    <row r="37" spans="1:15" ht="26.25" customHeight="1" x14ac:dyDescent="0.25">
      <c r="A37" s="59" t="s">
        <v>25</v>
      </c>
      <c r="B37" s="442" t="s">
        <v>239</v>
      </c>
      <c r="C37" s="443"/>
      <c r="D37" s="443"/>
      <c r="E37" s="443"/>
      <c r="F37" s="443"/>
      <c r="G37" s="443"/>
      <c r="H37" s="443"/>
      <c r="I37" s="444"/>
      <c r="J37" s="60">
        <f>1*H27*15</f>
        <v>271.64999999999998</v>
      </c>
      <c r="L37" s="53"/>
      <c r="M37" s="53"/>
    </row>
    <row r="38" spans="1:15" ht="26.25" customHeight="1" x14ac:dyDescent="0.25">
      <c r="A38" s="59" t="s">
        <v>20</v>
      </c>
      <c r="B38" s="442" t="s">
        <v>240</v>
      </c>
      <c r="C38" s="443"/>
      <c r="D38" s="443"/>
      <c r="E38" s="443"/>
      <c r="F38" s="443"/>
      <c r="G38" s="443"/>
      <c r="H38" s="443"/>
      <c r="I38" s="444"/>
      <c r="J38" s="60">
        <f>13.47*H28/12/2</f>
        <v>0</v>
      </c>
      <c r="N38" s="110"/>
    </row>
    <row r="39" spans="1:15" ht="22.5" customHeight="1" x14ac:dyDescent="0.25">
      <c r="A39" s="61" t="s">
        <v>106</v>
      </c>
      <c r="B39" s="445" t="s">
        <v>107</v>
      </c>
      <c r="C39" s="446"/>
      <c r="D39" s="446"/>
      <c r="E39" s="446"/>
      <c r="F39" s="446"/>
      <c r="G39" s="446"/>
      <c r="H39" s="446"/>
      <c r="I39" s="447"/>
      <c r="J39" s="62">
        <f>SUM(J34:J38)</f>
        <v>2726.087</v>
      </c>
      <c r="L39" s="53"/>
      <c r="M39" s="53"/>
    </row>
    <row r="40" spans="1:15" x14ac:dyDescent="0.25">
      <c r="A40" s="457"/>
      <c r="B40" s="458"/>
      <c r="C40" s="458"/>
      <c r="D40" s="458"/>
      <c r="E40" s="458"/>
      <c r="F40" s="458"/>
      <c r="G40" s="458"/>
      <c r="H40" s="458"/>
      <c r="I40" s="458"/>
      <c r="J40" s="458"/>
      <c r="K40" s="110"/>
    </row>
    <row r="41" spans="1:15" x14ac:dyDescent="0.25">
      <c r="A41" s="459" t="s">
        <v>108</v>
      </c>
      <c r="B41" s="459"/>
      <c r="C41" s="459"/>
      <c r="D41" s="459"/>
      <c r="E41" s="459"/>
      <c r="F41" s="459"/>
      <c r="G41" s="459"/>
      <c r="H41" s="459"/>
      <c r="I41" s="459"/>
      <c r="J41" s="459"/>
    </row>
    <row r="42" spans="1:15" x14ac:dyDescent="0.25">
      <c r="A42" s="460"/>
      <c r="B42" s="460"/>
      <c r="C42" s="460"/>
      <c r="D42" s="460"/>
      <c r="E42" s="460"/>
      <c r="F42" s="460"/>
      <c r="G42" s="460"/>
      <c r="H42" s="460"/>
      <c r="I42" s="460"/>
      <c r="J42" s="460"/>
    </row>
    <row r="43" spans="1:15" x14ac:dyDescent="0.25">
      <c r="A43" s="461"/>
      <c r="B43" s="462"/>
      <c r="C43" s="462"/>
      <c r="D43" s="462"/>
      <c r="E43" s="462"/>
      <c r="F43" s="462"/>
      <c r="G43" s="462"/>
      <c r="H43" s="462"/>
      <c r="I43" s="462"/>
      <c r="J43" s="462"/>
    </row>
    <row r="44" spans="1:15" x14ac:dyDescent="0.25">
      <c r="A44" s="463" t="s">
        <v>109</v>
      </c>
      <c r="B44" s="463"/>
      <c r="C44" s="463"/>
      <c r="D44" s="463"/>
      <c r="E44" s="463"/>
      <c r="F44" s="463"/>
      <c r="G44" s="463"/>
      <c r="H44" s="463"/>
      <c r="I44" s="463"/>
      <c r="J44" s="464"/>
    </row>
    <row r="45" spans="1:15" x14ac:dyDescent="0.25">
      <c r="A45" s="63"/>
      <c r="B45" s="64"/>
      <c r="C45" s="64"/>
      <c r="D45" s="64"/>
      <c r="E45" s="64"/>
      <c r="F45" s="64"/>
      <c r="G45" s="64"/>
      <c r="H45" s="64"/>
      <c r="I45" s="64"/>
      <c r="J45" s="64"/>
    </row>
    <row r="46" spans="1:15" x14ac:dyDescent="0.25">
      <c r="A46" s="468" t="s">
        <v>110</v>
      </c>
      <c r="B46" s="469"/>
      <c r="C46" s="469"/>
      <c r="D46" s="469"/>
      <c r="E46" s="469"/>
      <c r="F46" s="469"/>
      <c r="G46" s="469"/>
      <c r="H46" s="469"/>
      <c r="I46" s="469"/>
      <c r="J46" s="469"/>
    </row>
    <row r="47" spans="1:15" x14ac:dyDescent="0.25">
      <c r="A47" s="7" t="s">
        <v>117</v>
      </c>
      <c r="B47" s="445" t="s">
        <v>118</v>
      </c>
      <c r="C47" s="446"/>
      <c r="D47" s="446"/>
      <c r="E47" s="446"/>
      <c r="F47" s="446"/>
      <c r="G47" s="446"/>
      <c r="H47" s="446"/>
      <c r="I47" s="447"/>
      <c r="J47" s="5" t="s">
        <v>15</v>
      </c>
    </row>
    <row r="48" spans="1:15" x14ac:dyDescent="0.25">
      <c r="A48" s="52" t="s">
        <v>23</v>
      </c>
      <c r="B48" s="430" t="s">
        <v>119</v>
      </c>
      <c r="C48" s="431"/>
      <c r="D48" s="431"/>
      <c r="E48" s="431"/>
      <c r="F48" s="431"/>
      <c r="G48" s="431"/>
      <c r="H48" s="431"/>
      <c r="I48" s="65">
        <v>8.3299999999999999E-2</v>
      </c>
      <c r="J48" s="74">
        <f>I48*J39</f>
        <v>227.08304709999999</v>
      </c>
    </row>
    <row r="49" spans="1:20" ht="45" x14ac:dyDescent="0.25">
      <c r="A49" s="52" t="s">
        <v>30</v>
      </c>
      <c r="B49" s="430" t="s">
        <v>120</v>
      </c>
      <c r="C49" s="431"/>
      <c r="D49" s="431"/>
      <c r="E49" s="431"/>
      <c r="F49" s="431"/>
      <c r="G49" s="431"/>
      <c r="H49" s="431"/>
      <c r="I49" s="65">
        <v>0.1111</v>
      </c>
      <c r="J49" s="111">
        <f>I49*J39</f>
        <v>302.86826569999999</v>
      </c>
      <c r="K49" s="112" t="s">
        <v>111</v>
      </c>
      <c r="L49" s="112" t="s">
        <v>112</v>
      </c>
      <c r="M49" s="112" t="s">
        <v>113</v>
      </c>
      <c r="N49" s="112" t="s">
        <v>114</v>
      </c>
      <c r="P49" s="112" t="s">
        <v>116</v>
      </c>
      <c r="Q49" s="112" t="s">
        <v>207</v>
      </c>
      <c r="R49" s="112" t="s">
        <v>208</v>
      </c>
      <c r="S49" s="112" t="s">
        <v>209</v>
      </c>
    </row>
    <row r="50" spans="1:20" x14ac:dyDescent="0.25">
      <c r="A50" s="445" t="s">
        <v>121</v>
      </c>
      <c r="B50" s="446"/>
      <c r="C50" s="446"/>
      <c r="D50" s="446"/>
      <c r="E50" s="446"/>
      <c r="F50" s="446"/>
      <c r="G50" s="446"/>
      <c r="H50" s="446"/>
      <c r="I50" s="67">
        <f>SUM(I48:I49)</f>
        <v>0.19440000000000002</v>
      </c>
      <c r="J50" s="75">
        <f>SUM(J48:J49)</f>
        <v>529.95131279999998</v>
      </c>
      <c r="K50" s="113">
        <f>J39/12</f>
        <v>227.17391666666666</v>
      </c>
      <c r="L50" s="113">
        <f>J48/12</f>
        <v>18.923587258333331</v>
      </c>
      <c r="M50" s="113">
        <f>J48/12</f>
        <v>18.923587258333331</v>
      </c>
      <c r="N50" s="113">
        <f>M50/3</f>
        <v>6.3078624194444437</v>
      </c>
      <c r="P50" s="113">
        <f>N51*I66</f>
        <v>99.849054925822244</v>
      </c>
      <c r="Q50" s="113">
        <f>J78/12</f>
        <v>1.125</v>
      </c>
      <c r="R50" s="113">
        <f>J103/12</f>
        <v>16.146431561866667</v>
      </c>
      <c r="S50" s="114">
        <f>74.71/12</f>
        <v>6.2258333333333331</v>
      </c>
      <c r="T50" s="115">
        <f>SUM(K50:S50)</f>
        <v>394.67527342380009</v>
      </c>
    </row>
    <row r="51" spans="1:20" x14ac:dyDescent="0.25">
      <c r="A51" s="470"/>
      <c r="B51" s="471"/>
      <c r="C51" s="471"/>
      <c r="D51" s="471"/>
      <c r="E51" s="471"/>
      <c r="F51" s="471"/>
      <c r="G51" s="471"/>
      <c r="H51" s="471"/>
      <c r="I51" s="471"/>
      <c r="J51" s="471"/>
      <c r="M51" s="112" t="s">
        <v>115</v>
      </c>
      <c r="N51" s="113">
        <f>K50+L50+M50+N50</f>
        <v>271.3289536027778</v>
      </c>
      <c r="O51" s="53"/>
      <c r="P51" s="53"/>
    </row>
    <row r="52" spans="1:20" ht="46.5" customHeight="1" x14ac:dyDescent="0.25">
      <c r="A52" s="467" t="s">
        <v>122</v>
      </c>
      <c r="B52" s="467"/>
      <c r="C52" s="467"/>
      <c r="D52" s="467"/>
      <c r="E52" s="467"/>
      <c r="F52" s="467"/>
      <c r="G52" s="467"/>
      <c r="H52" s="467"/>
      <c r="I52" s="467"/>
      <c r="J52" s="467"/>
      <c r="P52" s="53"/>
    </row>
    <row r="53" spans="1:20" ht="46.5" customHeight="1" x14ac:dyDescent="0.25">
      <c r="A53" s="467" t="s">
        <v>123</v>
      </c>
      <c r="B53" s="467"/>
      <c r="C53" s="467"/>
      <c r="D53" s="467"/>
      <c r="E53" s="467"/>
      <c r="F53" s="467"/>
      <c r="G53" s="467"/>
      <c r="H53" s="467"/>
      <c r="I53" s="467"/>
      <c r="J53" s="467"/>
      <c r="O53" s="53"/>
    </row>
    <row r="54" spans="1:20" ht="46.5" customHeight="1" x14ac:dyDescent="0.25">
      <c r="A54" s="467" t="s">
        <v>124</v>
      </c>
      <c r="B54" s="467"/>
      <c r="C54" s="467"/>
      <c r="D54" s="467"/>
      <c r="E54" s="467"/>
      <c r="F54" s="467"/>
      <c r="G54" s="467"/>
      <c r="H54" s="467"/>
      <c r="I54" s="467"/>
      <c r="J54" s="467"/>
    </row>
    <row r="55" spans="1:20" ht="46.5" customHeight="1" x14ac:dyDescent="0.25">
      <c r="A55" s="461"/>
      <c r="B55" s="462"/>
      <c r="C55" s="462"/>
      <c r="D55" s="462"/>
      <c r="E55" s="462"/>
      <c r="F55" s="462"/>
      <c r="G55" s="462"/>
      <c r="H55" s="462"/>
      <c r="I55" s="462"/>
      <c r="J55" s="462"/>
    </row>
    <row r="56" spans="1:20" x14ac:dyDescent="0.25">
      <c r="A56" s="468" t="s">
        <v>125</v>
      </c>
      <c r="B56" s="469"/>
      <c r="C56" s="469"/>
      <c r="D56" s="469"/>
      <c r="E56" s="469"/>
      <c r="F56" s="469"/>
      <c r="G56" s="469"/>
      <c r="H56" s="469"/>
      <c r="I56" s="469"/>
      <c r="J56" s="469"/>
    </row>
    <row r="57" spans="1:20" x14ac:dyDescent="0.25">
      <c r="A57" s="7" t="s">
        <v>4</v>
      </c>
      <c r="B57" s="454" t="s">
        <v>5</v>
      </c>
      <c r="C57" s="454"/>
      <c r="D57" s="454"/>
      <c r="E57" s="454"/>
      <c r="F57" s="454"/>
      <c r="G57" s="454"/>
      <c r="H57" s="454"/>
      <c r="I57" s="6" t="s">
        <v>126</v>
      </c>
      <c r="J57" s="5" t="s">
        <v>15</v>
      </c>
    </row>
    <row r="58" spans="1:20" x14ac:dyDescent="0.25">
      <c r="A58" s="52" t="s">
        <v>23</v>
      </c>
      <c r="B58" s="448" t="s">
        <v>127</v>
      </c>
      <c r="C58" s="448"/>
      <c r="D58" s="448"/>
      <c r="E58" s="448"/>
      <c r="F58" s="448"/>
      <c r="G58" s="448"/>
      <c r="H58" s="448"/>
      <c r="I58" s="9">
        <v>0.2</v>
      </c>
      <c r="J58" s="69">
        <f>I58*(J$39+J$50)</f>
        <v>651.20766256000002</v>
      </c>
    </row>
    <row r="59" spans="1:20" x14ac:dyDescent="0.25">
      <c r="A59" s="52" t="s">
        <v>20</v>
      </c>
      <c r="B59" s="448" t="s">
        <v>128</v>
      </c>
      <c r="C59" s="448"/>
      <c r="D59" s="448"/>
      <c r="E59" s="448"/>
      <c r="F59" s="448"/>
      <c r="G59" s="448"/>
      <c r="H59" s="448"/>
      <c r="I59" s="9">
        <v>2.5000000000000001E-2</v>
      </c>
      <c r="J59" s="69">
        <f t="shared" ref="J59:J65" si="0">I59*(J$39+J$50)</f>
        <v>81.400957820000002</v>
      </c>
    </row>
    <row r="60" spans="1:20" x14ac:dyDescent="0.25">
      <c r="A60" s="52" t="s">
        <v>11</v>
      </c>
      <c r="B60" s="448" t="s">
        <v>12</v>
      </c>
      <c r="C60" s="448"/>
      <c r="D60" s="448"/>
      <c r="E60" s="448"/>
      <c r="F60" s="448"/>
      <c r="G60" s="448"/>
      <c r="H60" s="448"/>
      <c r="I60" s="9">
        <v>0.03</v>
      </c>
      <c r="J60" s="69">
        <f t="shared" si="0"/>
        <v>97.681149383999994</v>
      </c>
    </row>
    <row r="61" spans="1:20" x14ac:dyDescent="0.25">
      <c r="A61" s="52" t="s">
        <v>30</v>
      </c>
      <c r="B61" s="448" t="s">
        <v>129</v>
      </c>
      <c r="C61" s="448"/>
      <c r="D61" s="448"/>
      <c r="E61" s="448"/>
      <c r="F61" s="448"/>
      <c r="G61" s="448"/>
      <c r="H61" s="448"/>
      <c r="I61" s="9">
        <v>1.4999999999999999E-2</v>
      </c>
      <c r="J61" s="69">
        <f t="shared" si="0"/>
        <v>48.840574691999997</v>
      </c>
    </row>
    <row r="62" spans="1:20" x14ac:dyDescent="0.25">
      <c r="A62" s="52" t="s">
        <v>32</v>
      </c>
      <c r="B62" s="448" t="s">
        <v>130</v>
      </c>
      <c r="C62" s="448"/>
      <c r="D62" s="448"/>
      <c r="E62" s="448"/>
      <c r="F62" s="448"/>
      <c r="G62" s="448"/>
      <c r="H62" s="448"/>
      <c r="I62" s="9">
        <v>0.01</v>
      </c>
      <c r="J62" s="69">
        <f t="shared" si="0"/>
        <v>32.560383127999998</v>
      </c>
    </row>
    <row r="63" spans="1:20" x14ac:dyDescent="0.25">
      <c r="A63" s="52" t="s">
        <v>131</v>
      </c>
      <c r="B63" s="448" t="s">
        <v>132</v>
      </c>
      <c r="C63" s="448"/>
      <c r="D63" s="448"/>
      <c r="E63" s="448"/>
      <c r="F63" s="448"/>
      <c r="G63" s="448"/>
      <c r="H63" s="448"/>
      <c r="I63" s="9">
        <v>6.0000000000000001E-3</v>
      </c>
      <c r="J63" s="69">
        <f t="shared" si="0"/>
        <v>19.5362298768</v>
      </c>
    </row>
    <row r="64" spans="1:20" x14ac:dyDescent="0.25">
      <c r="A64" s="52" t="s">
        <v>25</v>
      </c>
      <c r="B64" s="448" t="s">
        <v>133</v>
      </c>
      <c r="C64" s="448"/>
      <c r="D64" s="448"/>
      <c r="E64" s="448"/>
      <c r="F64" s="448"/>
      <c r="G64" s="448"/>
      <c r="H64" s="448"/>
      <c r="I64" s="9">
        <v>2E-3</v>
      </c>
      <c r="J64" s="69">
        <f t="shared" si="0"/>
        <v>6.5120766255999998</v>
      </c>
    </row>
    <row r="65" spans="1:13" x14ac:dyDescent="0.25">
      <c r="A65" s="52" t="s">
        <v>37</v>
      </c>
      <c r="B65" s="448" t="s">
        <v>134</v>
      </c>
      <c r="C65" s="448"/>
      <c r="D65" s="448"/>
      <c r="E65" s="448"/>
      <c r="F65" s="448"/>
      <c r="G65" s="448"/>
      <c r="H65" s="448"/>
      <c r="I65" s="9">
        <v>0.08</v>
      </c>
      <c r="J65" s="69">
        <f t="shared" si="0"/>
        <v>260.48306502399998</v>
      </c>
    </row>
    <row r="66" spans="1:13" x14ac:dyDescent="0.25">
      <c r="A66" s="454" t="s">
        <v>121</v>
      </c>
      <c r="B66" s="454"/>
      <c r="C66" s="454"/>
      <c r="D66" s="454"/>
      <c r="E66" s="454"/>
      <c r="F66" s="454"/>
      <c r="G66" s="454"/>
      <c r="H66" s="454"/>
      <c r="I66" s="70">
        <f t="shared" ref="I66" si="1">SUM(I58:I65)</f>
        <v>0.36800000000000005</v>
      </c>
      <c r="J66" s="71">
        <f>SUM(J58:J65)</f>
        <v>1198.2220991104</v>
      </c>
    </row>
    <row r="67" spans="1:13" x14ac:dyDescent="0.25">
      <c r="A67" s="472"/>
      <c r="B67" s="472"/>
      <c r="C67" s="472"/>
      <c r="D67" s="472"/>
      <c r="E67" s="472"/>
      <c r="F67" s="472"/>
      <c r="G67" s="472"/>
      <c r="H67" s="472"/>
      <c r="I67" s="472"/>
      <c r="J67" s="472"/>
    </row>
    <row r="68" spans="1:13" ht="38.25" customHeight="1" x14ac:dyDescent="0.25">
      <c r="A68" s="467" t="s">
        <v>135</v>
      </c>
      <c r="B68" s="467"/>
      <c r="C68" s="467"/>
      <c r="D68" s="467"/>
      <c r="E68" s="467"/>
      <c r="F68" s="467"/>
      <c r="G68" s="467"/>
      <c r="H68" s="467"/>
      <c r="I68" s="467"/>
      <c r="J68" s="467"/>
    </row>
    <row r="69" spans="1:13" ht="38.25" customHeight="1" x14ac:dyDescent="0.25">
      <c r="A69" s="467" t="s">
        <v>136</v>
      </c>
      <c r="B69" s="467"/>
      <c r="C69" s="467"/>
      <c r="D69" s="467"/>
      <c r="E69" s="467"/>
      <c r="F69" s="467"/>
      <c r="G69" s="467"/>
      <c r="H69" s="467"/>
      <c r="I69" s="467"/>
      <c r="J69" s="467"/>
    </row>
    <row r="70" spans="1:13" ht="38.25" customHeight="1" x14ac:dyDescent="0.25">
      <c r="A70" s="459" t="s">
        <v>137</v>
      </c>
      <c r="B70" s="459"/>
      <c r="C70" s="459"/>
      <c r="D70" s="459"/>
      <c r="E70" s="459"/>
      <c r="F70" s="459"/>
      <c r="G70" s="459"/>
      <c r="H70" s="459"/>
      <c r="I70" s="459"/>
      <c r="J70" s="459"/>
    </row>
    <row r="71" spans="1:13" x14ac:dyDescent="0.25">
      <c r="A71" s="474"/>
      <c r="B71" s="474"/>
      <c r="C71" s="474"/>
      <c r="D71" s="474"/>
      <c r="E71" s="474"/>
      <c r="F71" s="474"/>
      <c r="G71" s="474"/>
      <c r="H71" s="474"/>
      <c r="I71" s="474"/>
      <c r="J71" s="461"/>
    </row>
    <row r="72" spans="1:13" x14ac:dyDescent="0.25">
      <c r="A72" s="468" t="s">
        <v>138</v>
      </c>
      <c r="B72" s="469"/>
      <c r="C72" s="469"/>
      <c r="D72" s="469"/>
      <c r="E72" s="469"/>
      <c r="F72" s="469"/>
      <c r="G72" s="469"/>
      <c r="H72" s="469"/>
      <c r="I72" s="469"/>
      <c r="J72" s="469"/>
    </row>
    <row r="73" spans="1:13" x14ac:dyDescent="0.25">
      <c r="A73" s="72" t="s">
        <v>13</v>
      </c>
      <c r="B73" s="454" t="s">
        <v>14</v>
      </c>
      <c r="C73" s="454"/>
      <c r="D73" s="454"/>
      <c r="E73" s="454"/>
      <c r="F73" s="454"/>
      <c r="G73" s="454"/>
      <c r="H73" s="454"/>
      <c r="I73" s="454"/>
      <c r="J73" s="5" t="s">
        <v>15</v>
      </c>
    </row>
    <row r="74" spans="1:13" x14ac:dyDescent="0.25">
      <c r="A74" s="8" t="s">
        <v>23</v>
      </c>
      <c r="B74" s="448" t="s">
        <v>362</v>
      </c>
      <c r="C74" s="448"/>
      <c r="D74" s="448"/>
      <c r="E74" s="448"/>
      <c r="F74" s="448"/>
      <c r="G74" s="448"/>
      <c r="H74" s="448"/>
      <c r="I74" s="448"/>
      <c r="J74" s="73">
        <f>(15*2*4)-(J34*50%*6%)</f>
        <v>68.925299999999993</v>
      </c>
      <c r="L74" s="53"/>
      <c r="M74" s="53"/>
    </row>
    <row r="75" spans="1:13" x14ac:dyDescent="0.25">
      <c r="A75" s="8" t="s">
        <v>42</v>
      </c>
      <c r="B75" s="448" t="s">
        <v>363</v>
      </c>
      <c r="C75" s="448"/>
      <c r="D75" s="448"/>
      <c r="E75" s="448"/>
      <c r="F75" s="448"/>
      <c r="G75" s="448"/>
      <c r="H75" s="448"/>
      <c r="I75" s="448"/>
      <c r="J75" s="73">
        <f>(15*36)-1%*(15*36)</f>
        <v>534.6</v>
      </c>
    </row>
    <row r="76" spans="1:13" x14ac:dyDescent="0.25">
      <c r="A76" s="8" t="s">
        <v>32</v>
      </c>
      <c r="B76" s="448" t="s">
        <v>139</v>
      </c>
      <c r="C76" s="448"/>
      <c r="D76" s="448"/>
      <c r="E76" s="448"/>
      <c r="F76" s="448"/>
      <c r="G76" s="448"/>
      <c r="H76" s="448"/>
      <c r="I76" s="448"/>
      <c r="J76" s="74">
        <v>0</v>
      </c>
    </row>
    <row r="77" spans="1:13" x14ac:dyDescent="0.25">
      <c r="A77" s="8" t="s">
        <v>25</v>
      </c>
      <c r="B77" s="448" t="s">
        <v>140</v>
      </c>
      <c r="C77" s="448"/>
      <c r="D77" s="448"/>
      <c r="E77" s="448"/>
      <c r="F77" s="448"/>
      <c r="G77" s="448"/>
      <c r="H77" s="448"/>
      <c r="I77" s="448"/>
      <c r="J77" s="74">
        <v>0</v>
      </c>
    </row>
    <row r="78" spans="1:13" ht="21" customHeight="1" x14ac:dyDescent="0.25">
      <c r="A78" s="8" t="s">
        <v>20</v>
      </c>
      <c r="B78" s="448" t="s">
        <v>21</v>
      </c>
      <c r="C78" s="448"/>
      <c r="D78" s="448"/>
      <c r="E78" s="448"/>
      <c r="F78" s="448"/>
      <c r="G78" s="448"/>
      <c r="H78" s="448"/>
      <c r="I78" s="448"/>
      <c r="J78" s="284">
        <f>'Media de custo com mão de o (2)'!M24</f>
        <v>13.5</v>
      </c>
    </row>
    <row r="79" spans="1:13" ht="21" customHeight="1" x14ac:dyDescent="0.25">
      <c r="A79" s="149"/>
      <c r="B79" s="475" t="s">
        <v>299</v>
      </c>
      <c r="C79" s="476"/>
      <c r="D79" s="476"/>
      <c r="E79" s="476"/>
      <c r="F79" s="476"/>
      <c r="G79" s="476"/>
      <c r="H79" s="476"/>
      <c r="I79" s="477"/>
      <c r="J79" s="284">
        <f>20.12/2</f>
        <v>10.06</v>
      </c>
    </row>
    <row r="80" spans="1:13" ht="21" customHeight="1" x14ac:dyDescent="0.25">
      <c r="A80" s="149"/>
      <c r="B80" s="475" t="s">
        <v>298</v>
      </c>
      <c r="C80" s="476"/>
      <c r="D80" s="476"/>
      <c r="E80" s="476"/>
      <c r="F80" s="476"/>
      <c r="G80" s="476"/>
      <c r="H80" s="476"/>
      <c r="I80" s="477"/>
      <c r="J80" s="284">
        <v>2</v>
      </c>
    </row>
    <row r="81" spans="1:10" x14ac:dyDescent="0.25">
      <c r="A81" s="8"/>
      <c r="B81" s="454" t="s">
        <v>141</v>
      </c>
      <c r="C81" s="454"/>
      <c r="D81" s="454"/>
      <c r="E81" s="454"/>
      <c r="F81" s="454"/>
      <c r="G81" s="454"/>
      <c r="H81" s="454"/>
      <c r="I81" s="454"/>
      <c r="J81" s="75">
        <f>SUM(J74:J78)</f>
        <v>617.02530000000002</v>
      </c>
    </row>
    <row r="82" spans="1:10" x14ac:dyDescent="0.25">
      <c r="A82" s="426"/>
      <c r="B82" s="427"/>
      <c r="C82" s="427"/>
      <c r="D82" s="427"/>
      <c r="E82" s="427"/>
      <c r="F82" s="427"/>
      <c r="G82" s="427"/>
      <c r="H82" s="427"/>
      <c r="I82" s="427"/>
      <c r="J82" s="427"/>
    </row>
    <row r="83" spans="1:10" ht="38.25" customHeight="1" x14ac:dyDescent="0.25">
      <c r="A83" s="473" t="s">
        <v>142</v>
      </c>
      <c r="B83" s="473"/>
      <c r="C83" s="473"/>
      <c r="D83" s="473"/>
      <c r="E83" s="473"/>
      <c r="F83" s="473"/>
      <c r="G83" s="473"/>
      <c r="H83" s="473"/>
      <c r="I83" s="473"/>
      <c r="J83" s="473"/>
    </row>
    <row r="84" spans="1:10" ht="38.25" customHeight="1" x14ac:dyDescent="0.25">
      <c r="A84" s="473" t="s">
        <v>143</v>
      </c>
      <c r="B84" s="473"/>
      <c r="C84" s="473"/>
      <c r="D84" s="473"/>
      <c r="E84" s="473"/>
      <c r="F84" s="473"/>
      <c r="G84" s="473"/>
      <c r="H84" s="473"/>
      <c r="I84" s="473"/>
      <c r="J84" s="473"/>
    </row>
    <row r="85" spans="1:10" x14ac:dyDescent="0.25">
      <c r="A85" s="426"/>
      <c r="B85" s="427"/>
      <c r="C85" s="427"/>
      <c r="D85" s="427"/>
      <c r="E85" s="427"/>
      <c r="F85" s="427"/>
      <c r="G85" s="427"/>
      <c r="H85" s="427"/>
      <c r="I85" s="427"/>
      <c r="J85" s="427"/>
    </row>
    <row r="86" spans="1:10" x14ac:dyDescent="0.25">
      <c r="A86" s="482" t="s">
        <v>144</v>
      </c>
      <c r="B86" s="482"/>
      <c r="C86" s="482"/>
      <c r="D86" s="482"/>
      <c r="E86" s="482"/>
      <c r="F86" s="482"/>
      <c r="G86" s="482"/>
      <c r="H86" s="482"/>
      <c r="I86" s="482"/>
      <c r="J86" s="483"/>
    </row>
    <row r="87" spans="1:10" x14ac:dyDescent="0.25">
      <c r="A87" s="484"/>
      <c r="B87" s="485"/>
      <c r="C87" s="485"/>
      <c r="D87" s="485"/>
      <c r="E87" s="485"/>
      <c r="F87" s="485"/>
      <c r="G87" s="485"/>
      <c r="H87" s="485"/>
      <c r="I87" s="485"/>
      <c r="J87" s="485"/>
    </row>
    <row r="88" spans="1:10" x14ac:dyDescent="0.25">
      <c r="A88" s="7">
        <v>2</v>
      </c>
      <c r="B88" s="454" t="s">
        <v>145</v>
      </c>
      <c r="C88" s="454"/>
      <c r="D88" s="454"/>
      <c r="E88" s="454"/>
      <c r="F88" s="454"/>
      <c r="G88" s="454"/>
      <c r="H88" s="454"/>
      <c r="I88" s="454"/>
      <c r="J88" s="7" t="s">
        <v>15</v>
      </c>
    </row>
    <row r="89" spans="1:10" x14ac:dyDescent="0.25">
      <c r="A89" s="52" t="s">
        <v>117</v>
      </c>
      <c r="B89" s="448" t="s">
        <v>146</v>
      </c>
      <c r="C89" s="448"/>
      <c r="D89" s="448"/>
      <c r="E89" s="448"/>
      <c r="F89" s="448"/>
      <c r="G89" s="448"/>
      <c r="H89" s="448"/>
      <c r="I89" s="448"/>
      <c r="J89" s="76">
        <f>J50</f>
        <v>529.95131279999998</v>
      </c>
    </row>
    <row r="90" spans="1:10" x14ac:dyDescent="0.25">
      <c r="A90" s="52" t="s">
        <v>4</v>
      </c>
      <c r="B90" s="448" t="s">
        <v>147</v>
      </c>
      <c r="C90" s="448"/>
      <c r="D90" s="448"/>
      <c r="E90" s="448"/>
      <c r="F90" s="448"/>
      <c r="G90" s="448"/>
      <c r="H90" s="448"/>
      <c r="I90" s="448"/>
      <c r="J90" s="76">
        <f>J66</f>
        <v>1198.2220991104</v>
      </c>
    </row>
    <row r="91" spans="1:10" x14ac:dyDescent="0.25">
      <c r="A91" s="52" t="s">
        <v>148</v>
      </c>
      <c r="B91" s="448" t="s">
        <v>149</v>
      </c>
      <c r="C91" s="448"/>
      <c r="D91" s="448"/>
      <c r="E91" s="448"/>
      <c r="F91" s="448"/>
      <c r="G91" s="448"/>
      <c r="H91" s="448"/>
      <c r="I91" s="448"/>
      <c r="J91" s="76">
        <f>J81</f>
        <v>617.02530000000002</v>
      </c>
    </row>
    <row r="92" spans="1:10" x14ac:dyDescent="0.25">
      <c r="A92" s="77"/>
      <c r="B92" s="478" t="s">
        <v>150</v>
      </c>
      <c r="C92" s="478"/>
      <c r="D92" s="478"/>
      <c r="E92" s="478"/>
      <c r="F92" s="478"/>
      <c r="G92" s="478"/>
      <c r="H92" s="478"/>
      <c r="I92" s="478"/>
      <c r="J92" s="78">
        <f>SUM(J89:J91)</f>
        <v>2345.1987119103997</v>
      </c>
    </row>
    <row r="93" spans="1:10" x14ac:dyDescent="0.25">
      <c r="A93" s="479"/>
      <c r="B93" s="480"/>
      <c r="C93" s="480"/>
      <c r="D93" s="480"/>
      <c r="E93" s="480"/>
      <c r="F93" s="480"/>
      <c r="G93" s="480"/>
      <c r="H93" s="480"/>
      <c r="I93" s="480"/>
      <c r="J93" s="480"/>
    </row>
    <row r="94" spans="1:10" x14ac:dyDescent="0.25">
      <c r="A94" s="461"/>
      <c r="B94" s="462"/>
      <c r="C94" s="462"/>
      <c r="D94" s="462"/>
      <c r="E94" s="462"/>
      <c r="F94" s="462"/>
      <c r="G94" s="462"/>
      <c r="H94" s="462"/>
      <c r="I94" s="462"/>
      <c r="J94" s="462"/>
    </row>
    <row r="95" spans="1:10" x14ac:dyDescent="0.25">
      <c r="A95" s="466" t="s">
        <v>151</v>
      </c>
      <c r="B95" s="481"/>
      <c r="C95" s="481"/>
      <c r="D95" s="481"/>
      <c r="E95" s="481"/>
      <c r="F95" s="481"/>
      <c r="G95" s="481"/>
      <c r="H95" s="481"/>
      <c r="I95" s="481"/>
      <c r="J95" s="481"/>
    </row>
    <row r="96" spans="1:10" x14ac:dyDescent="0.25">
      <c r="A96" s="7">
        <v>3</v>
      </c>
      <c r="B96" s="454" t="s">
        <v>22</v>
      </c>
      <c r="C96" s="454"/>
      <c r="D96" s="454"/>
      <c r="E96" s="454"/>
      <c r="F96" s="454"/>
      <c r="G96" s="454"/>
      <c r="H96" s="454"/>
      <c r="I96" s="7" t="s">
        <v>126</v>
      </c>
      <c r="J96" s="5" t="s">
        <v>15</v>
      </c>
    </row>
    <row r="97" spans="1:11" x14ac:dyDescent="0.25">
      <c r="A97" s="52" t="s">
        <v>23</v>
      </c>
      <c r="B97" s="486" t="s">
        <v>24</v>
      </c>
      <c r="C97" s="486"/>
      <c r="D97" s="486"/>
      <c r="E97" s="486"/>
      <c r="F97" s="486"/>
      <c r="G97" s="486"/>
      <c r="H97" s="486"/>
      <c r="I97" s="342">
        <f>'Media de custo com mão de o (2)'!M26</f>
        <v>4.1999999999999997E-3</v>
      </c>
      <c r="J97" s="343">
        <f>I97*J39</f>
        <v>11.449565399999999</v>
      </c>
    </row>
    <row r="98" spans="1:11" ht="21" customHeight="1" x14ac:dyDescent="0.25">
      <c r="A98" s="52" t="s">
        <v>30</v>
      </c>
      <c r="B98" s="486" t="s">
        <v>152</v>
      </c>
      <c r="C98" s="486"/>
      <c r="D98" s="486"/>
      <c r="E98" s="486"/>
      <c r="F98" s="486"/>
      <c r="G98" s="486"/>
      <c r="H98" s="486"/>
      <c r="I98" s="344">
        <f>I65</f>
        <v>0.08</v>
      </c>
      <c r="J98" s="343">
        <f>I98*J97</f>
        <v>0.91596523199999991</v>
      </c>
    </row>
    <row r="99" spans="1:11" ht="25.15" customHeight="1" x14ac:dyDescent="0.25">
      <c r="A99" s="81" t="s">
        <v>32</v>
      </c>
      <c r="B99" s="486" t="s">
        <v>153</v>
      </c>
      <c r="C99" s="486"/>
      <c r="D99" s="486"/>
      <c r="E99" s="486"/>
      <c r="F99" s="486"/>
      <c r="G99" s="486"/>
      <c r="H99" s="486"/>
      <c r="I99" s="344">
        <v>0.02</v>
      </c>
      <c r="J99" s="343">
        <f>I99*J39</f>
        <v>54.521740000000001</v>
      </c>
    </row>
    <row r="100" spans="1:11" ht="27.75" customHeight="1" x14ac:dyDescent="0.25">
      <c r="A100" s="52" t="s">
        <v>25</v>
      </c>
      <c r="B100" s="486" t="s">
        <v>154</v>
      </c>
      <c r="C100" s="486"/>
      <c r="D100" s="486"/>
      <c r="E100" s="486"/>
      <c r="F100" s="486"/>
      <c r="G100" s="486"/>
      <c r="H100" s="486"/>
      <c r="I100" s="345">
        <f>'Media de custo com mão de o (2)'!M27</f>
        <v>1.9400000000000001E-2</v>
      </c>
      <c r="J100" s="343">
        <f>I100*J39</f>
        <v>52.886087799999999</v>
      </c>
    </row>
    <row r="101" spans="1:11" ht="22.15" customHeight="1" x14ac:dyDescent="0.25">
      <c r="A101" s="52" t="s">
        <v>20</v>
      </c>
      <c r="B101" s="486" t="s">
        <v>155</v>
      </c>
      <c r="C101" s="486"/>
      <c r="D101" s="486"/>
      <c r="E101" s="486"/>
      <c r="F101" s="486"/>
      <c r="G101" s="486"/>
      <c r="H101" s="486"/>
      <c r="I101" s="346">
        <f>I66</f>
        <v>0.36800000000000005</v>
      </c>
      <c r="J101" s="343">
        <f>I101*J100</f>
        <v>19.462080310400001</v>
      </c>
    </row>
    <row r="102" spans="1:11" ht="22.15" customHeight="1" x14ac:dyDescent="0.25">
      <c r="A102" s="52" t="s">
        <v>37</v>
      </c>
      <c r="B102" s="486" t="s">
        <v>156</v>
      </c>
      <c r="C102" s="486"/>
      <c r="D102" s="486"/>
      <c r="E102" s="486"/>
      <c r="F102" s="486"/>
      <c r="G102" s="486"/>
      <c r="H102" s="486"/>
      <c r="I102" s="344">
        <v>0.02</v>
      </c>
      <c r="J102" s="343">
        <f>I102*J39</f>
        <v>54.521740000000001</v>
      </c>
    </row>
    <row r="103" spans="1:11" ht="22.15" customHeight="1" x14ac:dyDescent="0.25">
      <c r="A103" s="85"/>
      <c r="B103" s="454" t="s">
        <v>121</v>
      </c>
      <c r="C103" s="454"/>
      <c r="D103" s="454"/>
      <c r="E103" s="454"/>
      <c r="F103" s="454"/>
      <c r="G103" s="454"/>
      <c r="H103" s="454"/>
      <c r="I103" s="347"/>
      <c r="J103" s="348">
        <f>SUM(J97:J102)</f>
        <v>193.75717874239999</v>
      </c>
    </row>
    <row r="104" spans="1:11" x14ac:dyDescent="0.25">
      <c r="A104" s="470"/>
      <c r="B104" s="471"/>
      <c r="C104" s="471"/>
      <c r="D104" s="471"/>
      <c r="E104" s="471"/>
      <c r="F104" s="471"/>
      <c r="G104" s="471"/>
      <c r="H104" s="471"/>
      <c r="I104" s="471"/>
      <c r="J104" s="471"/>
    </row>
    <row r="105" spans="1:11" ht="90.75" customHeight="1" x14ac:dyDescent="0.25">
      <c r="A105" s="467" t="s">
        <v>157</v>
      </c>
      <c r="B105" s="467"/>
      <c r="C105" s="467"/>
      <c r="D105" s="467"/>
      <c r="E105" s="467"/>
      <c r="F105" s="467"/>
      <c r="G105" s="467"/>
      <c r="H105" s="467"/>
      <c r="I105" s="467"/>
      <c r="J105" s="467"/>
    </row>
    <row r="106" spans="1:11" x14ac:dyDescent="0.25">
      <c r="A106" s="487"/>
      <c r="B106" s="488"/>
      <c r="C106" s="488"/>
      <c r="D106" s="488"/>
      <c r="E106" s="488"/>
      <c r="F106" s="488"/>
      <c r="G106" s="488"/>
      <c r="H106" s="488"/>
      <c r="I106" s="488"/>
      <c r="J106" s="488"/>
    </row>
    <row r="107" spans="1:11" x14ac:dyDescent="0.25">
      <c r="A107" s="489" t="s">
        <v>158</v>
      </c>
      <c r="B107" s="490"/>
      <c r="C107" s="490"/>
      <c r="D107" s="490"/>
      <c r="E107" s="490"/>
      <c r="F107" s="490"/>
      <c r="G107" s="490"/>
      <c r="H107" s="490"/>
      <c r="I107" s="490"/>
      <c r="J107" s="490"/>
    </row>
    <row r="108" spans="1:11" x14ac:dyDescent="0.25">
      <c r="A108" s="470"/>
      <c r="B108" s="471"/>
      <c r="C108" s="471"/>
      <c r="D108" s="471"/>
      <c r="E108" s="471"/>
      <c r="F108" s="471"/>
      <c r="G108" s="471"/>
      <c r="H108" s="471"/>
      <c r="I108" s="471"/>
      <c r="J108" s="471"/>
    </row>
    <row r="109" spans="1:11" ht="33.75" customHeight="1" x14ac:dyDescent="0.25">
      <c r="A109" s="467" t="s">
        <v>159</v>
      </c>
      <c r="B109" s="467"/>
      <c r="C109" s="467"/>
      <c r="D109" s="467"/>
      <c r="E109" s="467"/>
      <c r="F109" s="467"/>
      <c r="G109" s="467"/>
      <c r="H109" s="467"/>
      <c r="I109" s="467"/>
      <c r="J109" s="467"/>
    </row>
    <row r="110" spans="1:11" x14ac:dyDescent="0.25">
      <c r="A110" s="461"/>
      <c r="B110" s="462"/>
      <c r="C110" s="462"/>
      <c r="D110" s="462"/>
      <c r="E110" s="462"/>
      <c r="F110" s="462"/>
      <c r="G110" s="462"/>
      <c r="H110" s="462"/>
      <c r="I110" s="462"/>
      <c r="J110" s="462"/>
    </row>
    <row r="111" spans="1:11" x14ac:dyDescent="0.25">
      <c r="A111" s="491" t="s">
        <v>160</v>
      </c>
      <c r="B111" s="491"/>
      <c r="C111" s="491"/>
      <c r="D111" s="491"/>
      <c r="E111" s="491"/>
      <c r="F111" s="491"/>
      <c r="G111" s="491"/>
      <c r="H111" s="491"/>
      <c r="I111" s="491"/>
      <c r="J111" s="468"/>
    </row>
    <row r="112" spans="1:11" x14ac:dyDescent="0.25">
      <c r="A112" s="87" t="s">
        <v>27</v>
      </c>
      <c r="B112" s="454" t="s">
        <v>28</v>
      </c>
      <c r="C112" s="454"/>
      <c r="D112" s="454"/>
      <c r="E112" s="454"/>
      <c r="F112" s="454"/>
      <c r="G112" s="454"/>
      <c r="H112" s="454"/>
      <c r="I112" s="85"/>
      <c r="J112" s="5" t="s">
        <v>15</v>
      </c>
      <c r="K112" s="115"/>
    </row>
    <row r="113" spans="1:12" x14ac:dyDescent="0.25">
      <c r="A113" s="52" t="s">
        <v>23</v>
      </c>
      <c r="B113" s="448" t="s">
        <v>29</v>
      </c>
      <c r="C113" s="448"/>
      <c r="D113" s="448"/>
      <c r="E113" s="448"/>
      <c r="F113" s="448"/>
      <c r="G113" s="448"/>
      <c r="H113" s="448"/>
      <c r="I113" s="88">
        <f>J113/J39</f>
        <v>0.14421543663090886</v>
      </c>
      <c r="J113" s="69">
        <f>'Custo de Substitução nas Ferias'!F11</f>
        <v>393.14382699884442</v>
      </c>
      <c r="K113" s="116"/>
    </row>
    <row r="114" spans="1:12" x14ac:dyDescent="0.25">
      <c r="A114" s="52" t="s">
        <v>30</v>
      </c>
      <c r="B114" s="455" t="s">
        <v>31</v>
      </c>
      <c r="C114" s="448"/>
      <c r="D114" s="448"/>
      <c r="E114" s="448"/>
      <c r="F114" s="448"/>
      <c r="G114" s="448"/>
      <c r="H114" s="448"/>
      <c r="I114" s="88">
        <f>'Media de custo com mão de o (2)'!M29</f>
        <v>5.28709729691027E-3</v>
      </c>
      <c r="J114" s="69">
        <f>I114*$J$39</f>
        <v>14.413087208842226</v>
      </c>
      <c r="K114" s="53"/>
      <c r="L114" s="53"/>
    </row>
    <row r="115" spans="1:12" x14ac:dyDescent="0.25">
      <c r="A115" s="52" t="s">
        <v>32</v>
      </c>
      <c r="B115" s="448" t="s">
        <v>33</v>
      </c>
      <c r="C115" s="448"/>
      <c r="D115" s="448"/>
      <c r="E115" s="448"/>
      <c r="F115" s="448"/>
      <c r="G115" s="448"/>
      <c r="H115" s="448"/>
      <c r="I115" s="88">
        <f>'Media de custo com mão de o (2)'!M30</f>
        <v>3.7684228773416035E-4</v>
      </c>
      <c r="J115" s="69">
        <f t="shared" ref="J115:J118" si="2">I115*$J$39</f>
        <v>1.0273048616423539</v>
      </c>
    </row>
    <row r="116" spans="1:12" x14ac:dyDescent="0.25">
      <c r="A116" s="52" t="s">
        <v>25</v>
      </c>
      <c r="B116" s="448" t="s">
        <v>34</v>
      </c>
      <c r="C116" s="448"/>
      <c r="D116" s="448"/>
      <c r="E116" s="448"/>
      <c r="F116" s="448"/>
      <c r="G116" s="448"/>
      <c r="H116" s="448"/>
      <c r="I116" s="88">
        <f>'Media de custo com mão de o (2)'!M31</f>
        <v>5.28709729691027E-3</v>
      </c>
      <c r="J116" s="69">
        <f t="shared" si="2"/>
        <v>14.413087208842226</v>
      </c>
    </row>
    <row r="117" spans="1:12" x14ac:dyDescent="0.25">
      <c r="A117" s="52" t="s">
        <v>20</v>
      </c>
      <c r="B117" s="448" t="s">
        <v>35</v>
      </c>
      <c r="C117" s="448"/>
      <c r="D117" s="448"/>
      <c r="E117" s="448"/>
      <c r="F117" s="448"/>
      <c r="G117" s="448"/>
      <c r="H117" s="448"/>
      <c r="I117" s="88">
        <f>'Media de custo com mão de o (2)'!M32</f>
        <v>5.6526343160124052E-4</v>
      </c>
      <c r="J117" s="69">
        <f>I117*$J$39</f>
        <v>1.5409572924635309</v>
      </c>
    </row>
    <row r="118" spans="1:12" x14ac:dyDescent="0.25">
      <c r="A118" s="52" t="s">
        <v>37</v>
      </c>
      <c r="B118" s="448" t="s">
        <v>38</v>
      </c>
      <c r="C118" s="448"/>
      <c r="D118" s="448"/>
      <c r="E118" s="448"/>
      <c r="F118" s="448"/>
      <c r="G118" s="448"/>
      <c r="H118" s="448"/>
      <c r="I118" s="88">
        <f>'Media de custo com mão de o (2)'!M33</f>
        <v>0</v>
      </c>
      <c r="J118" s="69">
        <f t="shared" si="2"/>
        <v>0</v>
      </c>
    </row>
    <row r="119" spans="1:12" ht="22.5" customHeight="1" x14ac:dyDescent="0.25">
      <c r="A119" s="445" t="s">
        <v>150</v>
      </c>
      <c r="B119" s="446"/>
      <c r="C119" s="446"/>
      <c r="D119" s="446"/>
      <c r="E119" s="446"/>
      <c r="F119" s="446"/>
      <c r="G119" s="446"/>
      <c r="H119" s="446"/>
      <c r="I119" s="447"/>
      <c r="J119" s="89">
        <f>SUM(J113:J118)</f>
        <v>424.53826357063474</v>
      </c>
    </row>
    <row r="120" spans="1:12" x14ac:dyDescent="0.25">
      <c r="A120" s="445"/>
      <c r="B120" s="446"/>
      <c r="C120" s="446"/>
      <c r="D120" s="446"/>
      <c r="E120" s="446"/>
      <c r="F120" s="446"/>
      <c r="G120" s="446"/>
      <c r="H120" s="446"/>
      <c r="I120" s="446"/>
      <c r="J120" s="446"/>
    </row>
    <row r="121" spans="1:12" x14ac:dyDescent="0.25">
      <c r="A121" s="468" t="s">
        <v>161</v>
      </c>
      <c r="B121" s="469"/>
      <c r="C121" s="469"/>
      <c r="D121" s="469"/>
      <c r="E121" s="469"/>
      <c r="F121" s="469"/>
      <c r="G121" s="469"/>
      <c r="H121" s="469"/>
      <c r="I121" s="469"/>
      <c r="J121" s="469"/>
    </row>
    <row r="122" spans="1:12" x14ac:dyDescent="0.25">
      <c r="A122" s="7" t="s">
        <v>162</v>
      </c>
      <c r="B122" s="445" t="s">
        <v>163</v>
      </c>
      <c r="C122" s="446"/>
      <c r="D122" s="446"/>
      <c r="E122" s="446"/>
      <c r="F122" s="446"/>
      <c r="G122" s="446"/>
      <c r="H122" s="447"/>
      <c r="I122" s="90"/>
      <c r="J122" s="5" t="s">
        <v>15</v>
      </c>
    </row>
    <row r="123" spans="1:12" x14ac:dyDescent="0.25">
      <c r="A123" s="52" t="s">
        <v>23</v>
      </c>
      <c r="B123" s="430" t="s">
        <v>364</v>
      </c>
      <c r="C123" s="431"/>
      <c r="D123" s="431"/>
      <c r="E123" s="431"/>
      <c r="F123" s="431"/>
      <c r="G123" s="431"/>
      <c r="H123" s="432"/>
      <c r="I123" s="91"/>
      <c r="J123" s="69">
        <f>18.11*15</f>
        <v>271.64999999999998</v>
      </c>
    </row>
    <row r="124" spans="1:12" x14ac:dyDescent="0.25">
      <c r="A124" s="445" t="s">
        <v>150</v>
      </c>
      <c r="B124" s="446"/>
      <c r="C124" s="446"/>
      <c r="D124" s="446"/>
      <c r="E124" s="446"/>
      <c r="F124" s="446"/>
      <c r="G124" s="446"/>
      <c r="H124" s="447"/>
      <c r="I124" s="91"/>
      <c r="J124" s="71">
        <f>SUM(J123:J123)</f>
        <v>271.64999999999998</v>
      </c>
    </row>
    <row r="125" spans="1:12" x14ac:dyDescent="0.25">
      <c r="A125" s="441"/>
      <c r="B125" s="441"/>
      <c r="C125" s="441"/>
      <c r="D125" s="441"/>
      <c r="E125" s="441"/>
      <c r="F125" s="441"/>
      <c r="G125" s="441"/>
      <c r="H125" s="441"/>
      <c r="I125" s="441"/>
      <c r="J125" s="426"/>
    </row>
    <row r="126" spans="1:12" x14ac:dyDescent="0.25">
      <c r="A126" s="491" t="s">
        <v>164</v>
      </c>
      <c r="B126" s="491"/>
      <c r="C126" s="491"/>
      <c r="D126" s="491"/>
      <c r="E126" s="491"/>
      <c r="F126" s="491"/>
      <c r="G126" s="491"/>
      <c r="H126" s="491"/>
      <c r="I126" s="491"/>
      <c r="J126" s="468"/>
    </row>
    <row r="127" spans="1:12" ht="13.9" customHeight="1" x14ac:dyDescent="0.25">
      <c r="A127" s="7">
        <v>4</v>
      </c>
      <c r="B127" s="445" t="s">
        <v>165</v>
      </c>
      <c r="C127" s="446"/>
      <c r="D127" s="446"/>
      <c r="E127" s="446"/>
      <c r="F127" s="446"/>
      <c r="G127" s="446"/>
      <c r="H127" s="446"/>
      <c r="I127" s="447"/>
      <c r="J127" s="5" t="s">
        <v>15</v>
      </c>
    </row>
    <row r="128" spans="1:12" x14ac:dyDescent="0.25">
      <c r="A128" s="52" t="s">
        <v>27</v>
      </c>
      <c r="B128" s="448" t="s">
        <v>166</v>
      </c>
      <c r="C128" s="448"/>
      <c r="D128" s="448"/>
      <c r="E128" s="448"/>
      <c r="F128" s="448"/>
      <c r="G128" s="448"/>
      <c r="H128" s="448"/>
      <c r="I128" s="448"/>
      <c r="J128" s="92">
        <f>J119</f>
        <v>424.53826357063474</v>
      </c>
    </row>
    <row r="129" spans="1:10" x14ac:dyDescent="0.25">
      <c r="A129" s="52" t="s">
        <v>162</v>
      </c>
      <c r="B129" s="448" t="s">
        <v>167</v>
      </c>
      <c r="C129" s="448"/>
      <c r="D129" s="448"/>
      <c r="E129" s="448"/>
      <c r="F129" s="448"/>
      <c r="G129" s="448"/>
      <c r="H129" s="448"/>
      <c r="I129" s="448"/>
      <c r="J129" s="92">
        <f>J124</f>
        <v>271.64999999999998</v>
      </c>
    </row>
    <row r="130" spans="1:10" x14ac:dyDescent="0.25">
      <c r="A130" s="470" t="s">
        <v>150</v>
      </c>
      <c r="B130" s="471"/>
      <c r="C130" s="471"/>
      <c r="D130" s="471"/>
      <c r="E130" s="471"/>
      <c r="F130" s="471"/>
      <c r="G130" s="471"/>
      <c r="H130" s="471"/>
      <c r="I130" s="492"/>
      <c r="J130" s="93">
        <f>J128+J129</f>
        <v>696.18826357063472</v>
      </c>
    </row>
    <row r="131" spans="1:10" x14ac:dyDescent="0.25">
      <c r="A131" s="493"/>
      <c r="B131" s="494"/>
      <c r="C131" s="494"/>
      <c r="D131" s="494"/>
      <c r="E131" s="494"/>
      <c r="F131" s="494"/>
      <c r="G131" s="494"/>
      <c r="H131" s="494"/>
      <c r="I131" s="494"/>
      <c r="J131" s="494"/>
    </row>
    <row r="132" spans="1:10" x14ac:dyDescent="0.25">
      <c r="A132" s="429" t="s">
        <v>168</v>
      </c>
      <c r="B132" s="429"/>
      <c r="C132" s="429"/>
      <c r="D132" s="429"/>
      <c r="E132" s="429"/>
      <c r="F132" s="429"/>
      <c r="G132" s="429"/>
      <c r="H132" s="429"/>
      <c r="I132" s="429"/>
      <c r="J132" s="429"/>
    </row>
    <row r="133" spans="1:10" x14ac:dyDescent="0.25">
      <c r="A133" s="7">
        <v>5</v>
      </c>
      <c r="B133" s="454" t="s">
        <v>169</v>
      </c>
      <c r="C133" s="454"/>
      <c r="D133" s="454"/>
      <c r="E133" s="454"/>
      <c r="F133" s="454"/>
      <c r="G133" s="454"/>
      <c r="H133" s="454"/>
      <c r="I133" s="454"/>
      <c r="J133" s="5" t="s">
        <v>15</v>
      </c>
    </row>
    <row r="134" spans="1:10" x14ac:dyDescent="0.25">
      <c r="A134" s="52" t="s">
        <v>23</v>
      </c>
      <c r="B134" s="448" t="s">
        <v>170</v>
      </c>
      <c r="C134" s="448"/>
      <c r="D134" s="448"/>
      <c r="E134" s="448"/>
      <c r="F134" s="448"/>
      <c r="G134" s="448"/>
      <c r="H134" s="448"/>
      <c r="I134" s="448"/>
      <c r="J134" s="12">
        <f>'Média de custo - Equipamentos '!G13</f>
        <v>44.148333333333341</v>
      </c>
    </row>
    <row r="135" spans="1:10" x14ac:dyDescent="0.25">
      <c r="A135" s="52" t="s">
        <v>30</v>
      </c>
      <c r="B135" s="448" t="s">
        <v>171</v>
      </c>
      <c r="C135" s="448"/>
      <c r="D135" s="448"/>
      <c r="E135" s="448"/>
      <c r="F135" s="448"/>
      <c r="G135" s="448"/>
      <c r="H135" s="448"/>
      <c r="I135" s="448"/>
      <c r="J135" s="12"/>
    </row>
    <row r="136" spans="1:10" x14ac:dyDescent="0.25">
      <c r="A136" s="52" t="s">
        <v>32</v>
      </c>
      <c r="B136" s="448" t="s">
        <v>172</v>
      </c>
      <c r="C136" s="448"/>
      <c r="D136" s="448"/>
      <c r="E136" s="448"/>
      <c r="F136" s="448"/>
      <c r="G136" s="448"/>
      <c r="H136" s="448"/>
      <c r="I136" s="448"/>
      <c r="J136" s="12">
        <f>'Média de custo - Equipamentos '!J26</f>
        <v>216.72442857142855</v>
      </c>
    </row>
    <row r="137" spans="1:10" x14ac:dyDescent="0.25">
      <c r="A137" s="52" t="s">
        <v>25</v>
      </c>
      <c r="B137" s="448" t="s">
        <v>173</v>
      </c>
      <c r="C137" s="448"/>
      <c r="D137" s="448"/>
      <c r="E137" s="448"/>
      <c r="F137" s="448"/>
      <c r="G137" s="448"/>
      <c r="H137" s="448"/>
      <c r="I137" s="448"/>
      <c r="J137" s="12"/>
    </row>
    <row r="138" spans="1:10" x14ac:dyDescent="0.25">
      <c r="A138" s="52"/>
      <c r="B138" s="454" t="s">
        <v>57</v>
      </c>
      <c r="C138" s="454"/>
      <c r="D138" s="454"/>
      <c r="E138" s="454"/>
      <c r="F138" s="454"/>
      <c r="G138" s="454"/>
      <c r="H138" s="454"/>
      <c r="I138" s="454"/>
      <c r="J138" s="68">
        <f>SUM(J134:J137)</f>
        <v>260.87276190476189</v>
      </c>
    </row>
    <row r="139" spans="1:10" x14ac:dyDescent="0.25">
      <c r="A139" s="495"/>
      <c r="B139" s="496"/>
      <c r="C139" s="496"/>
      <c r="D139" s="496"/>
      <c r="E139" s="496"/>
      <c r="F139" s="496"/>
      <c r="G139" s="496"/>
      <c r="H139" s="496"/>
      <c r="I139" s="496"/>
      <c r="J139" s="496"/>
    </row>
    <row r="140" spans="1:10" ht="20.25" customHeight="1" x14ac:dyDescent="0.25">
      <c r="A140" s="459" t="s">
        <v>174</v>
      </c>
      <c r="B140" s="459"/>
      <c r="C140" s="459"/>
      <c r="D140" s="459"/>
      <c r="E140" s="459"/>
      <c r="F140" s="459"/>
      <c r="G140" s="459"/>
      <c r="H140" s="459"/>
      <c r="I140" s="459"/>
      <c r="J140" s="459"/>
    </row>
    <row r="141" spans="1:10" x14ac:dyDescent="0.25">
      <c r="A141" s="497"/>
      <c r="B141" s="460"/>
      <c r="C141" s="460"/>
      <c r="D141" s="460"/>
      <c r="E141" s="460"/>
      <c r="F141" s="460"/>
      <c r="G141" s="460"/>
      <c r="H141" s="460"/>
      <c r="I141" s="460"/>
      <c r="J141" s="460"/>
    </row>
    <row r="142" spans="1:10" x14ac:dyDescent="0.25">
      <c r="A142" s="436" t="s">
        <v>175</v>
      </c>
      <c r="B142" s="437"/>
      <c r="C142" s="437"/>
      <c r="D142" s="437"/>
      <c r="E142" s="437"/>
      <c r="F142" s="437"/>
      <c r="G142" s="437"/>
      <c r="H142" s="437"/>
      <c r="I142" s="437"/>
      <c r="J142" s="438"/>
    </row>
    <row r="143" spans="1:10" x14ac:dyDescent="0.25">
      <c r="A143" s="87">
        <v>6</v>
      </c>
      <c r="B143" s="498" t="s">
        <v>39</v>
      </c>
      <c r="C143" s="498"/>
      <c r="D143" s="498"/>
      <c r="E143" s="498"/>
      <c r="F143" s="498"/>
      <c r="G143" s="498"/>
      <c r="H143" s="498"/>
      <c r="I143" s="7" t="s">
        <v>176</v>
      </c>
      <c r="J143" s="5" t="s">
        <v>15</v>
      </c>
    </row>
    <row r="144" spans="1:10" x14ac:dyDescent="0.25">
      <c r="A144" s="52" t="s">
        <v>23</v>
      </c>
      <c r="B144" s="501" t="s">
        <v>41</v>
      </c>
      <c r="C144" s="501"/>
      <c r="D144" s="501"/>
      <c r="E144" s="501"/>
      <c r="F144" s="501"/>
      <c r="G144" s="501"/>
      <c r="H144" s="501"/>
      <c r="I144" s="95">
        <f>'Media de custo com mão de o (2)'!M35</f>
        <v>5.6599999999999998E-2</v>
      </c>
      <c r="J144" s="74">
        <f>I144*J167</f>
        <v>352.17108165285595</v>
      </c>
    </row>
    <row r="145" spans="1:10" x14ac:dyDescent="0.25">
      <c r="A145" s="387" t="s">
        <v>387</v>
      </c>
      <c r="B145" s="430" t="str">
        <f>'VIG. DIURNO'!B142:H142</f>
        <v>Custo de manutenção de depósito de conta Vinculada = R$ 155/10 (empregados)</v>
      </c>
      <c r="C145" s="431"/>
      <c r="D145" s="431"/>
      <c r="E145" s="431"/>
      <c r="F145" s="431"/>
      <c r="G145" s="431"/>
      <c r="H145" s="432"/>
      <c r="I145" s="95"/>
      <c r="J145" s="74">
        <f>155/10</f>
        <v>15.5</v>
      </c>
    </row>
    <row r="146" spans="1:10" x14ac:dyDescent="0.25">
      <c r="A146" s="52" t="s">
        <v>42</v>
      </c>
      <c r="B146" s="486" t="s">
        <v>43</v>
      </c>
      <c r="C146" s="501"/>
      <c r="D146" s="501"/>
      <c r="E146" s="501"/>
      <c r="F146" s="501"/>
      <c r="G146" s="501"/>
      <c r="H146" s="501"/>
      <c r="I146" s="95">
        <f>'Media de custo com mão de o (2)'!M36</f>
        <v>5.8000000000000003E-2</v>
      </c>
      <c r="J146" s="74">
        <f>(J167+J144+J145)*I146</f>
        <v>382.20694987130105</v>
      </c>
    </row>
    <row r="147" spans="1:10" x14ac:dyDescent="0.25">
      <c r="A147" s="52" t="s">
        <v>32</v>
      </c>
      <c r="B147" s="501" t="s">
        <v>177</v>
      </c>
      <c r="C147" s="501"/>
      <c r="D147" s="501"/>
      <c r="E147" s="501"/>
      <c r="F147" s="501"/>
      <c r="G147" s="501"/>
      <c r="H147" s="501"/>
      <c r="I147" s="57"/>
      <c r="J147" s="96"/>
    </row>
    <row r="148" spans="1:10" x14ac:dyDescent="0.25">
      <c r="A148" s="52"/>
      <c r="B148" s="486" t="s">
        <v>178</v>
      </c>
      <c r="C148" s="486"/>
      <c r="D148" s="486"/>
      <c r="E148" s="486"/>
      <c r="F148" s="486"/>
      <c r="G148" s="486"/>
      <c r="H148" s="486"/>
      <c r="I148" s="57"/>
      <c r="J148" s="74"/>
    </row>
    <row r="149" spans="1:10" x14ac:dyDescent="0.25">
      <c r="A149" s="52"/>
      <c r="B149" s="502" t="s">
        <v>179</v>
      </c>
      <c r="C149" s="503"/>
      <c r="D149" s="503"/>
      <c r="E149" s="503"/>
      <c r="F149" s="503"/>
      <c r="G149" s="503"/>
      <c r="H149" s="504"/>
      <c r="I149" s="97">
        <v>0.03</v>
      </c>
      <c r="J149" s="74">
        <f>I149*$J$169</f>
        <v>228.96492438923985</v>
      </c>
    </row>
    <row r="150" spans="1:10" x14ac:dyDescent="0.25">
      <c r="A150" s="52"/>
      <c r="B150" s="502" t="s">
        <v>180</v>
      </c>
      <c r="C150" s="503"/>
      <c r="D150" s="503"/>
      <c r="E150" s="503"/>
      <c r="F150" s="503"/>
      <c r="G150" s="503"/>
      <c r="H150" s="504"/>
      <c r="I150" s="97">
        <v>6.4999999999999997E-3</v>
      </c>
      <c r="J150" s="74">
        <f>I150*$J$169</f>
        <v>49.609066951001964</v>
      </c>
    </row>
    <row r="151" spans="1:10" x14ac:dyDescent="0.25">
      <c r="A151" s="52"/>
      <c r="B151" s="486" t="s">
        <v>181</v>
      </c>
      <c r="C151" s="486"/>
      <c r="D151" s="486"/>
      <c r="E151" s="486"/>
      <c r="F151" s="486"/>
      <c r="G151" s="486"/>
      <c r="H151" s="486"/>
      <c r="I151" s="58"/>
      <c r="J151" s="74"/>
    </row>
    <row r="152" spans="1:10" x14ac:dyDescent="0.25">
      <c r="A152" s="52"/>
      <c r="B152" s="500" t="s">
        <v>182</v>
      </c>
      <c r="C152" s="500"/>
      <c r="D152" s="500"/>
      <c r="E152" s="500"/>
      <c r="F152" s="500"/>
      <c r="G152" s="500"/>
      <c r="H152" s="500"/>
      <c r="I152" s="99"/>
      <c r="J152" s="74"/>
    </row>
    <row r="153" spans="1:10" x14ac:dyDescent="0.25">
      <c r="A153" s="52"/>
      <c r="B153" s="430" t="s">
        <v>183</v>
      </c>
      <c r="C153" s="431"/>
      <c r="D153" s="431"/>
      <c r="E153" s="431"/>
      <c r="F153" s="431"/>
      <c r="G153" s="431"/>
      <c r="H153" s="432"/>
      <c r="I153" s="100">
        <v>0.05</v>
      </c>
      <c r="J153" s="74">
        <f t="shared" ref="J153" si="3">I153*$J$169</f>
        <v>381.6082073153998</v>
      </c>
    </row>
    <row r="154" spans="1:10" x14ac:dyDescent="0.25">
      <c r="A154" s="52"/>
      <c r="B154" s="454" t="s">
        <v>57</v>
      </c>
      <c r="C154" s="454"/>
      <c r="D154" s="454"/>
      <c r="E154" s="454"/>
      <c r="F154" s="454"/>
      <c r="G154" s="454"/>
      <c r="H154" s="454"/>
      <c r="I154" s="57"/>
      <c r="J154" s="12">
        <f>SUM(J144:J153)</f>
        <v>1410.0602301797985</v>
      </c>
    </row>
    <row r="155" spans="1:10" x14ac:dyDescent="0.25">
      <c r="A155" s="496"/>
      <c r="B155" s="496"/>
      <c r="C155" s="496"/>
      <c r="D155" s="496"/>
      <c r="E155" s="496"/>
      <c r="F155" s="496"/>
      <c r="G155" s="496"/>
      <c r="H155" s="496"/>
      <c r="I155" s="496"/>
      <c r="J155" s="496"/>
    </row>
    <row r="156" spans="1:10" x14ac:dyDescent="0.25">
      <c r="A156" s="459" t="s">
        <v>184</v>
      </c>
      <c r="B156" s="459"/>
      <c r="C156" s="459"/>
      <c r="D156" s="459"/>
      <c r="E156" s="459"/>
      <c r="F156" s="459"/>
      <c r="G156" s="459"/>
      <c r="H156" s="459"/>
      <c r="I156" s="459"/>
      <c r="J156" s="459"/>
    </row>
    <row r="157" spans="1:10" x14ac:dyDescent="0.25">
      <c r="A157" s="459" t="s">
        <v>185</v>
      </c>
      <c r="B157" s="459"/>
      <c r="C157" s="459"/>
      <c r="D157" s="459"/>
      <c r="E157" s="459"/>
      <c r="F157" s="459"/>
      <c r="G157" s="459"/>
      <c r="H157" s="459"/>
      <c r="I157" s="459"/>
      <c r="J157" s="459"/>
    </row>
    <row r="158" spans="1:10" x14ac:dyDescent="0.25">
      <c r="A158" s="496"/>
      <c r="B158" s="496"/>
      <c r="C158" s="496"/>
      <c r="D158" s="496"/>
      <c r="E158" s="496"/>
      <c r="F158" s="496"/>
      <c r="G158" s="496"/>
      <c r="H158" s="496"/>
      <c r="I158" s="496"/>
      <c r="J158" s="496"/>
    </row>
    <row r="159" spans="1:10" x14ac:dyDescent="0.25">
      <c r="A159" s="496"/>
      <c r="B159" s="496"/>
      <c r="C159" s="496"/>
      <c r="D159" s="496"/>
      <c r="E159" s="496"/>
      <c r="F159" s="496"/>
      <c r="G159" s="496"/>
      <c r="H159" s="496"/>
      <c r="I159" s="496"/>
      <c r="J159" s="496"/>
    </row>
    <row r="160" spans="1:10" x14ac:dyDescent="0.25">
      <c r="A160" s="465" t="s">
        <v>186</v>
      </c>
      <c r="B160" s="465"/>
      <c r="C160" s="465"/>
      <c r="D160" s="465"/>
      <c r="E160" s="465"/>
      <c r="F160" s="465"/>
      <c r="G160" s="465"/>
      <c r="H160" s="465"/>
      <c r="I160" s="465"/>
      <c r="J160" s="465"/>
    </row>
    <row r="161" spans="1:12" x14ac:dyDescent="0.25">
      <c r="A161" s="7">
        <v>2</v>
      </c>
      <c r="B161" s="441"/>
      <c r="C161" s="441"/>
      <c r="D161" s="441"/>
      <c r="E161" s="441"/>
      <c r="F161" s="441"/>
      <c r="G161" s="441"/>
      <c r="H161" s="441"/>
      <c r="I161" s="441"/>
      <c r="J161" s="5" t="s">
        <v>15</v>
      </c>
    </row>
    <row r="162" spans="1:12" x14ac:dyDescent="0.25">
      <c r="A162" s="52" t="s">
        <v>23</v>
      </c>
      <c r="B162" s="448" t="s">
        <v>187</v>
      </c>
      <c r="C162" s="448"/>
      <c r="D162" s="448"/>
      <c r="E162" s="448"/>
      <c r="F162" s="448"/>
      <c r="G162" s="448"/>
      <c r="H162" s="448"/>
      <c r="I162" s="448"/>
      <c r="J162" s="74">
        <f>J39</f>
        <v>2726.087</v>
      </c>
    </row>
    <row r="163" spans="1:12" x14ac:dyDescent="0.25">
      <c r="A163" s="52" t="s">
        <v>30</v>
      </c>
      <c r="B163" s="448" t="s">
        <v>109</v>
      </c>
      <c r="C163" s="448"/>
      <c r="D163" s="448"/>
      <c r="E163" s="448"/>
      <c r="F163" s="448"/>
      <c r="G163" s="448"/>
      <c r="H163" s="448"/>
      <c r="I163" s="448"/>
      <c r="J163" s="74">
        <f>J92</f>
        <v>2345.1987119103997</v>
      </c>
    </row>
    <row r="164" spans="1:12" x14ac:dyDescent="0.25">
      <c r="A164" s="52" t="s">
        <v>32</v>
      </c>
      <c r="B164" s="448" t="s">
        <v>151</v>
      </c>
      <c r="C164" s="448"/>
      <c r="D164" s="448"/>
      <c r="E164" s="448"/>
      <c r="F164" s="448"/>
      <c r="G164" s="448"/>
      <c r="H164" s="448"/>
      <c r="I164" s="448"/>
      <c r="J164" s="74">
        <f>J103</f>
        <v>193.75717874239999</v>
      </c>
    </row>
    <row r="165" spans="1:12" x14ac:dyDescent="0.25">
      <c r="A165" s="52" t="s">
        <v>25</v>
      </c>
      <c r="B165" s="448" t="s">
        <v>158</v>
      </c>
      <c r="C165" s="448"/>
      <c r="D165" s="448"/>
      <c r="E165" s="448"/>
      <c r="F165" s="448"/>
      <c r="G165" s="448"/>
      <c r="H165" s="448"/>
      <c r="I165" s="448"/>
      <c r="J165" s="74">
        <f>J130</f>
        <v>696.18826357063472</v>
      </c>
    </row>
    <row r="166" spans="1:12" x14ac:dyDescent="0.25">
      <c r="A166" s="52" t="s">
        <v>20</v>
      </c>
      <c r="B166" s="455" t="s">
        <v>188</v>
      </c>
      <c r="C166" s="448"/>
      <c r="D166" s="448"/>
      <c r="E166" s="448"/>
      <c r="F166" s="448"/>
      <c r="G166" s="448"/>
      <c r="H166" s="448"/>
      <c r="I166" s="448"/>
      <c r="J166" s="74">
        <f>J138</f>
        <v>260.87276190476189</v>
      </c>
    </row>
    <row r="167" spans="1:12" x14ac:dyDescent="0.25">
      <c r="A167" s="454" t="s">
        <v>189</v>
      </c>
      <c r="B167" s="454"/>
      <c r="C167" s="454"/>
      <c r="D167" s="454"/>
      <c r="E167" s="454"/>
      <c r="F167" s="454"/>
      <c r="G167" s="454"/>
      <c r="H167" s="454"/>
      <c r="I167" s="454"/>
      <c r="J167" s="75">
        <f>SUM(J162:J166)</f>
        <v>6222.1039161281969</v>
      </c>
    </row>
    <row r="168" spans="1:12" x14ac:dyDescent="0.25">
      <c r="A168" s="52" t="s">
        <v>37</v>
      </c>
      <c r="B168" s="448" t="s">
        <v>190</v>
      </c>
      <c r="C168" s="448"/>
      <c r="D168" s="448"/>
      <c r="E168" s="448"/>
      <c r="F168" s="448"/>
      <c r="G168" s="448"/>
      <c r="H168" s="448"/>
      <c r="I168" s="448"/>
      <c r="J168" s="74">
        <f>J154</f>
        <v>1410.0602301797985</v>
      </c>
      <c r="L168" s="53"/>
    </row>
    <row r="169" spans="1:12" x14ac:dyDescent="0.25">
      <c r="A169" s="466" t="s">
        <v>191</v>
      </c>
      <c r="B169" s="481"/>
      <c r="C169" s="481"/>
      <c r="D169" s="481"/>
      <c r="E169" s="481"/>
      <c r="F169" s="481"/>
      <c r="G169" s="481"/>
      <c r="H169" s="481"/>
      <c r="I169" s="505"/>
      <c r="J169" s="101">
        <f>(J144+J145+J146+J167)/(1-(I149+I150+I153))</f>
        <v>7632.164146307995</v>
      </c>
      <c r="K169" s="53"/>
    </row>
    <row r="170" spans="1:12" x14ac:dyDescent="0.25">
      <c r="A170" s="506"/>
      <c r="B170" s="506"/>
      <c r="C170" s="506"/>
      <c r="D170" s="506"/>
      <c r="E170" s="506"/>
      <c r="F170" s="506"/>
      <c r="G170" s="506"/>
      <c r="H170" s="506"/>
      <c r="I170" s="506"/>
      <c r="J170" s="506"/>
      <c r="K170" s="53"/>
    </row>
    <row r="171" spans="1:12" hidden="1" x14ac:dyDescent="0.25">
      <c r="A171" s="506"/>
      <c r="B171" s="506"/>
      <c r="C171" s="506"/>
      <c r="D171" s="506"/>
      <c r="E171" s="506"/>
      <c r="F171" s="506"/>
      <c r="G171" s="506"/>
      <c r="H171" s="506"/>
      <c r="I171" s="506"/>
      <c r="J171" s="506"/>
    </row>
    <row r="172" spans="1:12" hidden="1" x14ac:dyDescent="0.25">
      <c r="A172" s="429" t="s">
        <v>192</v>
      </c>
      <c r="B172" s="429"/>
      <c r="C172" s="429"/>
      <c r="D172" s="429"/>
      <c r="E172" s="429"/>
      <c r="F172" s="429"/>
      <c r="G172" s="429"/>
      <c r="H172" s="429"/>
      <c r="I172" s="429"/>
      <c r="J172" s="429"/>
    </row>
    <row r="173" spans="1:12" ht="48" hidden="1" customHeight="1" x14ac:dyDescent="0.25">
      <c r="A173" s="405" t="s">
        <v>193</v>
      </c>
      <c r="B173" s="405"/>
      <c r="C173" s="405"/>
      <c r="D173" s="405" t="s">
        <v>194</v>
      </c>
      <c r="E173" s="405"/>
      <c r="F173" s="102" t="s">
        <v>195</v>
      </c>
      <c r="G173" s="405" t="s">
        <v>196</v>
      </c>
      <c r="H173" s="405"/>
      <c r="I173" s="102" t="s">
        <v>197</v>
      </c>
      <c r="J173" s="102" t="s">
        <v>198</v>
      </c>
    </row>
    <row r="174" spans="1:12" ht="32.25" hidden="1" customHeight="1" x14ac:dyDescent="0.25">
      <c r="A174" s="405" t="s">
        <v>199</v>
      </c>
      <c r="B174" s="405"/>
      <c r="C174" s="405"/>
      <c r="D174" s="405" t="s">
        <v>200</v>
      </c>
      <c r="E174" s="405"/>
      <c r="F174" s="102" t="s">
        <v>201</v>
      </c>
      <c r="G174" s="405" t="s">
        <v>202</v>
      </c>
      <c r="H174" s="405"/>
      <c r="I174" s="102" t="s">
        <v>203</v>
      </c>
      <c r="J174" s="102" t="s">
        <v>204</v>
      </c>
    </row>
    <row r="175" spans="1:12" s="45" customFormat="1" ht="92.25" hidden="1" customHeight="1" x14ac:dyDescent="0.25">
      <c r="A175" s="103" t="s">
        <v>205</v>
      </c>
      <c r="B175" s="409" t="str">
        <f>A13</f>
        <v xml:space="preserve">Vigilância Armada  - 12 (doze) horas noturnas, de segunda-feira a domingo, envolvendo 2 (dois) vigilantes em turnos de 12 (doze) por 36 (trinta e seis) horas.
</v>
      </c>
      <c r="C175" s="409"/>
      <c r="D175" s="410">
        <f>J169</f>
        <v>7632.164146307995</v>
      </c>
      <c r="E175" s="409"/>
      <c r="F175" s="103">
        <v>2</v>
      </c>
      <c r="G175" s="411">
        <f>D175*F175</f>
        <v>15264.32829261599</v>
      </c>
      <c r="H175" s="412"/>
      <c r="I175" s="103">
        <v>5</v>
      </c>
      <c r="J175" s="105">
        <f>G175*I175</f>
        <v>76321.641463079955</v>
      </c>
    </row>
    <row r="176" spans="1:12" x14ac:dyDescent="0.25">
      <c r="K176" s="53"/>
    </row>
    <row r="177" spans="10:10" x14ac:dyDescent="0.25">
      <c r="J177" s="53"/>
    </row>
  </sheetData>
  <mergeCells count="194">
    <mergeCell ref="B175:C175"/>
    <mergeCell ref="D175:E175"/>
    <mergeCell ref="G175:H175"/>
    <mergeCell ref="A173:C173"/>
    <mergeCell ref="D173:E173"/>
    <mergeCell ref="G173:H173"/>
    <mergeCell ref="A174:C174"/>
    <mergeCell ref="D174:E174"/>
    <mergeCell ref="G174:H174"/>
    <mergeCell ref="A167:I167"/>
    <mergeCell ref="B168:I168"/>
    <mergeCell ref="A169:I169"/>
    <mergeCell ref="A170:J170"/>
    <mergeCell ref="A171:J171"/>
    <mergeCell ref="A172:J172"/>
    <mergeCell ref="B161:I161"/>
    <mergeCell ref="B162:I162"/>
    <mergeCell ref="B163:I163"/>
    <mergeCell ref="B164:I164"/>
    <mergeCell ref="B165:I165"/>
    <mergeCell ref="B166:I166"/>
    <mergeCell ref="A155:J155"/>
    <mergeCell ref="A156:J156"/>
    <mergeCell ref="A157:J157"/>
    <mergeCell ref="A158:J158"/>
    <mergeCell ref="A159:J159"/>
    <mergeCell ref="A160:J160"/>
    <mergeCell ref="B149:H149"/>
    <mergeCell ref="B150:H150"/>
    <mergeCell ref="B151:H151"/>
    <mergeCell ref="B152:H152"/>
    <mergeCell ref="B153:H153"/>
    <mergeCell ref="B154:H154"/>
    <mergeCell ref="A142:J142"/>
    <mergeCell ref="B143:H143"/>
    <mergeCell ref="B144:H144"/>
    <mergeCell ref="B146:H146"/>
    <mergeCell ref="B147:H147"/>
    <mergeCell ref="B148:H148"/>
    <mergeCell ref="B136:I136"/>
    <mergeCell ref="B137:I137"/>
    <mergeCell ref="B138:I138"/>
    <mergeCell ref="A139:J139"/>
    <mergeCell ref="A140:J140"/>
    <mergeCell ref="A141:J141"/>
    <mergeCell ref="B145:H145"/>
    <mergeCell ref="A130:I130"/>
    <mergeCell ref="A131:J131"/>
    <mergeCell ref="A132:J132"/>
    <mergeCell ref="B133:I133"/>
    <mergeCell ref="B134:I134"/>
    <mergeCell ref="B135:I135"/>
    <mergeCell ref="A124:H124"/>
    <mergeCell ref="A125:J125"/>
    <mergeCell ref="A126:J126"/>
    <mergeCell ref="B127:I127"/>
    <mergeCell ref="B128:I128"/>
    <mergeCell ref="B129:I129"/>
    <mergeCell ref="B118:H118"/>
    <mergeCell ref="A119:I119"/>
    <mergeCell ref="A120:J120"/>
    <mergeCell ref="A121:J121"/>
    <mergeCell ref="B122:H122"/>
    <mergeCell ref="B123:H123"/>
    <mergeCell ref="B112:H112"/>
    <mergeCell ref="B113:H113"/>
    <mergeCell ref="B114:H114"/>
    <mergeCell ref="B115:H115"/>
    <mergeCell ref="B116:H116"/>
    <mergeCell ref="B117:H117"/>
    <mergeCell ref="A106:J106"/>
    <mergeCell ref="A107:J107"/>
    <mergeCell ref="A108:J108"/>
    <mergeCell ref="A109:J109"/>
    <mergeCell ref="A110:J110"/>
    <mergeCell ref="A111:J111"/>
    <mergeCell ref="B100:H100"/>
    <mergeCell ref="B101:H101"/>
    <mergeCell ref="B102:H102"/>
    <mergeCell ref="B103:H103"/>
    <mergeCell ref="A104:J104"/>
    <mergeCell ref="A105:J105"/>
    <mergeCell ref="A94:J94"/>
    <mergeCell ref="A95:J95"/>
    <mergeCell ref="B96:H96"/>
    <mergeCell ref="B97:H97"/>
    <mergeCell ref="B98:H98"/>
    <mergeCell ref="B99:H99"/>
    <mergeCell ref="B88:I88"/>
    <mergeCell ref="B89:I89"/>
    <mergeCell ref="B90:I90"/>
    <mergeCell ref="B91:I91"/>
    <mergeCell ref="B92:I92"/>
    <mergeCell ref="A93:J93"/>
    <mergeCell ref="A82:J82"/>
    <mergeCell ref="A83:J83"/>
    <mergeCell ref="A84:J84"/>
    <mergeCell ref="A85:J85"/>
    <mergeCell ref="A86:J86"/>
    <mergeCell ref="A87:J87"/>
    <mergeCell ref="B74:I74"/>
    <mergeCell ref="B75:I75"/>
    <mergeCell ref="B76:I76"/>
    <mergeCell ref="B77:I77"/>
    <mergeCell ref="B78:I78"/>
    <mergeCell ref="B81:I81"/>
    <mergeCell ref="B79:I79"/>
    <mergeCell ref="B80:I80"/>
    <mergeCell ref="A68:J68"/>
    <mergeCell ref="A69:J69"/>
    <mergeCell ref="A70:J70"/>
    <mergeCell ref="A71:J71"/>
    <mergeCell ref="A72:J72"/>
    <mergeCell ref="B73:I73"/>
    <mergeCell ref="B62:H62"/>
    <mergeCell ref="B63:H63"/>
    <mergeCell ref="B64:H64"/>
    <mergeCell ref="B65:H65"/>
    <mergeCell ref="A66:H66"/>
    <mergeCell ref="A67:J67"/>
    <mergeCell ref="A56:J56"/>
    <mergeCell ref="B57:H57"/>
    <mergeCell ref="B58:H58"/>
    <mergeCell ref="B59:H59"/>
    <mergeCell ref="B60:H60"/>
    <mergeCell ref="B61:H61"/>
    <mergeCell ref="A50:H50"/>
    <mergeCell ref="A51:J51"/>
    <mergeCell ref="A52:J52"/>
    <mergeCell ref="A53:J53"/>
    <mergeCell ref="A54:J54"/>
    <mergeCell ref="A55:J55"/>
    <mergeCell ref="A43:J43"/>
    <mergeCell ref="A44:J44"/>
    <mergeCell ref="A46:J46"/>
    <mergeCell ref="B47:I47"/>
    <mergeCell ref="B48:H48"/>
    <mergeCell ref="B49:H49"/>
    <mergeCell ref="B37:I37"/>
    <mergeCell ref="B38:I38"/>
    <mergeCell ref="B39:I39"/>
    <mergeCell ref="A40:J40"/>
    <mergeCell ref="A41:J41"/>
    <mergeCell ref="A42:J42"/>
    <mergeCell ref="A30:J30"/>
    <mergeCell ref="A32:J32"/>
    <mergeCell ref="B33:I33"/>
    <mergeCell ref="B34:I34"/>
    <mergeCell ref="B35:I35"/>
    <mergeCell ref="B36:I36"/>
    <mergeCell ref="B26:G26"/>
    <mergeCell ref="H26:J26"/>
    <mergeCell ref="B27:G27"/>
    <mergeCell ref="H27:J27"/>
    <mergeCell ref="B28:G28"/>
    <mergeCell ref="H28:J28"/>
    <mergeCell ref="B23:G23"/>
    <mergeCell ref="H23:J23"/>
    <mergeCell ref="B24:G24"/>
    <mergeCell ref="H24:J24"/>
    <mergeCell ref="B25:G25"/>
    <mergeCell ref="H25:J25"/>
    <mergeCell ref="B20:G20"/>
    <mergeCell ref="H20:J20"/>
    <mergeCell ref="B21:G21"/>
    <mergeCell ref="H21:J21"/>
    <mergeCell ref="B22:G22"/>
    <mergeCell ref="H22:J22"/>
    <mergeCell ref="A14:J14"/>
    <mergeCell ref="A15:J15"/>
    <mergeCell ref="A16:J16"/>
    <mergeCell ref="A17:J17"/>
    <mergeCell ref="A18:J18"/>
    <mergeCell ref="B19:G19"/>
    <mergeCell ref="H19:J19"/>
    <mergeCell ref="A10:J10"/>
    <mergeCell ref="A11:J11"/>
    <mergeCell ref="A12:G12"/>
    <mergeCell ref="H12:I12"/>
    <mergeCell ref="A13:G13"/>
    <mergeCell ref="H13:I13"/>
    <mergeCell ref="B7:F7"/>
    <mergeCell ref="G7:J7"/>
    <mergeCell ref="B8:F8"/>
    <mergeCell ref="G8:J8"/>
    <mergeCell ref="B9:F9"/>
    <mergeCell ref="G9:J9"/>
    <mergeCell ref="A1:J1"/>
    <mergeCell ref="A2:J2"/>
    <mergeCell ref="A3:J3"/>
    <mergeCell ref="A4:J4"/>
    <mergeCell ref="A5:J5"/>
    <mergeCell ref="B6:F6"/>
    <mergeCell ref="G6:J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1" manualBreakCount="1">
    <brk id="108" max="9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9D284-962E-4F17-9DCB-1F1ED67ABECE}">
  <sheetPr>
    <pageSetUpPr fitToPage="1"/>
  </sheetPr>
  <dimension ref="A1:Q135"/>
  <sheetViews>
    <sheetView topLeftCell="A43" zoomScaleNormal="100" zoomScaleSheetLayoutView="100" zoomScalePageLayoutView="50" workbookViewId="0">
      <selection activeCell="G44" sqref="G44:H44"/>
    </sheetView>
  </sheetViews>
  <sheetFormatPr defaultRowHeight="15" x14ac:dyDescent="0.25"/>
  <cols>
    <col min="1" max="1" width="5.85546875" customWidth="1"/>
    <col min="2" max="2" width="10.28515625" customWidth="1"/>
    <col min="3" max="3" width="14.28515625" customWidth="1"/>
    <col min="4" max="4" width="13.5703125" customWidth="1"/>
    <col min="5" max="5" width="14.85546875" customWidth="1"/>
    <col min="6" max="6" width="13.42578125" customWidth="1"/>
    <col min="7" max="7" width="8.28515625" customWidth="1"/>
    <col min="8" max="8" width="8" customWidth="1"/>
    <col min="9" max="9" width="5" customWidth="1"/>
    <col min="10" max="10" width="30.140625" customWidth="1"/>
    <col min="11" max="11" width="16.7109375" customWidth="1"/>
    <col min="12" max="12" width="16.85546875" customWidth="1"/>
    <col min="13" max="13" width="13.42578125" customWidth="1"/>
    <col min="17" max="17" width="10.5703125" bestFit="1" customWidth="1"/>
  </cols>
  <sheetData>
    <row r="1" spans="1:13" ht="39.6" customHeight="1" x14ac:dyDescent="0.25">
      <c r="A1" s="627" t="s">
        <v>359</v>
      </c>
      <c r="B1" s="627"/>
      <c r="C1" s="627"/>
      <c r="D1" s="627"/>
      <c r="E1" s="627"/>
      <c r="F1" s="627"/>
      <c r="G1" s="627"/>
      <c r="H1" s="627"/>
      <c r="I1" s="627"/>
      <c r="J1" s="627"/>
    </row>
    <row r="2" spans="1:13" ht="9.6" customHeight="1" x14ac:dyDescent="0.25">
      <c r="A2" s="605" t="s">
        <v>358</v>
      </c>
      <c r="B2" s="605"/>
      <c r="C2" s="605"/>
      <c r="D2" s="605"/>
      <c r="E2" s="605"/>
      <c r="F2" s="605"/>
      <c r="G2" s="605"/>
      <c r="H2" s="605"/>
      <c r="I2" s="605"/>
      <c r="J2" s="605"/>
    </row>
    <row r="3" spans="1:13" ht="9.6" customHeight="1" x14ac:dyDescent="0.25">
      <c r="A3" s="605"/>
      <c r="B3" s="605"/>
      <c r="C3" s="605"/>
      <c r="D3" s="605"/>
      <c r="E3" s="605"/>
      <c r="F3" s="605"/>
      <c r="G3" s="605"/>
      <c r="H3" s="605"/>
      <c r="I3" s="605"/>
      <c r="J3" s="605"/>
    </row>
    <row r="4" spans="1:13" ht="15.75" thickBot="1" x14ac:dyDescent="0.3">
      <c r="A4" s="606" t="s">
        <v>357</v>
      </c>
      <c r="B4" s="606"/>
      <c r="C4" s="606"/>
      <c r="D4" s="606"/>
      <c r="E4" s="606"/>
      <c r="F4" s="295" t="s">
        <v>356</v>
      </c>
      <c r="G4" s="294" t="s">
        <v>355</v>
      </c>
      <c r="H4" s="294"/>
      <c r="I4" s="293"/>
      <c r="J4" s="292"/>
    </row>
    <row r="5" spans="1:13" ht="16.5" thickTop="1" thickBot="1" x14ac:dyDescent="0.3">
      <c r="A5" s="607" t="s">
        <v>346</v>
      </c>
      <c r="B5" s="607"/>
      <c r="C5" s="607"/>
      <c r="D5" s="607"/>
      <c r="E5" s="607"/>
      <c r="F5" s="607"/>
      <c r="G5" s="607"/>
      <c r="H5" s="607"/>
      <c r="I5" s="607"/>
      <c r="J5" s="607"/>
    </row>
    <row r="6" spans="1:13" ht="16.5" thickTop="1" thickBot="1" x14ac:dyDescent="0.3">
      <c r="A6" s="608" t="str">
        <f>A2</f>
        <v>VIGILÂNCIA 12HS NOTURNAS ININTERRUTAS NA ESCALA 12 X 36</v>
      </c>
      <c r="B6" s="608"/>
      <c r="C6" s="608"/>
      <c r="D6" s="608"/>
      <c r="E6" s="608"/>
      <c r="F6" s="608"/>
      <c r="G6" s="608"/>
      <c r="H6" s="608"/>
      <c r="I6" s="608"/>
      <c r="J6" s="608"/>
    </row>
    <row r="7" spans="1:13" ht="16.5" thickTop="1" thickBot="1" x14ac:dyDescent="0.3">
      <c r="A7" s="237" t="s">
        <v>345</v>
      </c>
      <c r="B7" s="191" t="s">
        <v>354</v>
      </c>
      <c r="C7" s="223"/>
      <c r="D7" s="223"/>
      <c r="E7" s="223"/>
      <c r="F7" s="260"/>
      <c r="G7" s="517">
        <v>43839</v>
      </c>
      <c r="H7" s="518"/>
      <c r="I7" s="518"/>
      <c r="J7" s="519"/>
    </row>
    <row r="8" spans="1:13" ht="16.5" thickTop="1" thickBot="1" x14ac:dyDescent="0.3">
      <c r="A8" s="237" t="s">
        <v>30</v>
      </c>
      <c r="B8" s="191" t="s">
        <v>343</v>
      </c>
      <c r="C8" s="223"/>
      <c r="D8" s="223"/>
      <c r="E8" s="223"/>
      <c r="F8" s="260"/>
      <c r="G8" s="609" t="s">
        <v>77</v>
      </c>
      <c r="H8" s="609"/>
      <c r="I8" s="609"/>
      <c r="J8" s="609"/>
    </row>
    <row r="9" spans="1:13" ht="16.5" thickTop="1" thickBot="1" x14ac:dyDescent="0.3">
      <c r="A9" s="237" t="s">
        <v>32</v>
      </c>
      <c r="B9" s="191" t="s">
        <v>341</v>
      </c>
      <c r="C9" s="223"/>
      <c r="D9" s="223"/>
      <c r="E9" s="223"/>
      <c r="F9" s="260"/>
      <c r="G9" s="609" t="s">
        <v>353</v>
      </c>
      <c r="H9" s="609"/>
      <c r="I9" s="609"/>
      <c r="J9" s="609"/>
    </row>
    <row r="10" spans="1:13" ht="16.5" thickTop="1" thickBot="1" x14ac:dyDescent="0.3">
      <c r="A10" s="237" t="s">
        <v>25</v>
      </c>
      <c r="B10" s="191" t="s">
        <v>339</v>
      </c>
      <c r="C10" s="223"/>
      <c r="D10" s="223"/>
      <c r="E10" s="223"/>
      <c r="F10" s="260"/>
      <c r="G10" s="607">
        <v>12</v>
      </c>
      <c r="H10" s="607"/>
      <c r="I10" s="607"/>
      <c r="J10" s="607"/>
    </row>
    <row r="11" spans="1:13" ht="16.5" thickTop="1" thickBot="1" x14ac:dyDescent="0.3">
      <c r="A11" s="607" t="s">
        <v>338</v>
      </c>
      <c r="B11" s="607"/>
      <c r="C11" s="607"/>
      <c r="D11" s="607"/>
      <c r="E11" s="607"/>
      <c r="F11" s="607"/>
      <c r="G11" s="607"/>
      <c r="H11" s="607"/>
      <c r="I11" s="607"/>
      <c r="J11" s="607"/>
    </row>
    <row r="12" spans="1:13" ht="16.5" thickTop="1" thickBot="1" x14ac:dyDescent="0.3">
      <c r="A12" s="610" t="s">
        <v>337</v>
      </c>
      <c r="B12" s="610"/>
      <c r="C12" s="610"/>
      <c r="D12" s="610"/>
      <c r="E12" s="610"/>
      <c r="F12" s="610"/>
      <c r="G12" s="610"/>
      <c r="H12" s="610"/>
      <c r="I12" s="610"/>
      <c r="J12" s="610"/>
    </row>
    <row r="13" spans="1:13" ht="16.5" thickTop="1" thickBot="1" x14ac:dyDescent="0.3">
      <c r="A13" s="193">
        <v>1</v>
      </c>
      <c r="B13" s="217" t="s">
        <v>80</v>
      </c>
      <c r="C13" s="169"/>
      <c r="D13" s="169"/>
      <c r="E13" s="169"/>
      <c r="F13" s="274"/>
      <c r="G13" s="611" t="str">
        <f>A6</f>
        <v>VIGILÂNCIA 12HS NOTURNAS ININTERRUTAS NA ESCALA 12 X 36</v>
      </c>
      <c r="H13" s="611"/>
      <c r="I13" s="611"/>
      <c r="J13" s="611"/>
      <c r="L13">
        <f>60-52.5</f>
        <v>7.5</v>
      </c>
      <c r="M13">
        <f>L13*7</f>
        <v>52.5</v>
      </c>
    </row>
    <row r="14" spans="1:13" ht="16.5" thickTop="1" thickBot="1" x14ac:dyDescent="0.3">
      <c r="A14" s="193">
        <v>2</v>
      </c>
      <c r="B14" s="217" t="s">
        <v>336</v>
      </c>
      <c r="C14" s="169"/>
      <c r="D14" s="169"/>
      <c r="E14" s="169"/>
      <c r="F14" s="274"/>
      <c r="G14" s="607" t="s">
        <v>335</v>
      </c>
      <c r="H14" s="607"/>
      <c r="I14" s="607"/>
      <c r="J14" s="607"/>
    </row>
    <row r="15" spans="1:13" ht="16.5" thickTop="1" thickBot="1" x14ac:dyDescent="0.3">
      <c r="A15" s="193">
        <v>3</v>
      </c>
      <c r="B15" s="217" t="s">
        <v>211</v>
      </c>
      <c r="C15" s="169"/>
      <c r="D15" s="169"/>
      <c r="E15" s="169"/>
      <c r="F15" s="274"/>
      <c r="G15" s="612">
        <v>1702.49</v>
      </c>
      <c r="H15" s="612"/>
      <c r="I15" s="612"/>
      <c r="J15" s="612"/>
      <c r="L15" s="53">
        <f>(J21+J30)/220</f>
        <v>10.060181818181817</v>
      </c>
    </row>
    <row r="16" spans="1:13" ht="16.5" thickTop="1" thickBot="1" x14ac:dyDescent="0.3">
      <c r="A16" s="193">
        <v>4</v>
      </c>
      <c r="B16" s="217" t="s">
        <v>334</v>
      </c>
      <c r="C16" s="169"/>
      <c r="D16" s="169"/>
      <c r="E16" s="169"/>
      <c r="F16" s="274"/>
      <c r="G16" s="609">
        <v>43466</v>
      </c>
      <c r="H16" s="609"/>
      <c r="I16" s="609"/>
      <c r="J16" s="609"/>
      <c r="L16">
        <v>2.0099999999999998</v>
      </c>
    </row>
    <row r="17" spans="1:16" ht="16.5" thickTop="1" thickBot="1" x14ac:dyDescent="0.3">
      <c r="A17" s="193"/>
      <c r="B17" s="169"/>
      <c r="C17" s="169"/>
      <c r="D17" s="169"/>
      <c r="E17" s="169"/>
      <c r="F17" s="169"/>
      <c r="G17" s="282"/>
      <c r="H17" s="173"/>
      <c r="I17" s="173"/>
      <c r="J17" s="211"/>
      <c r="L17" s="53">
        <f>SUM(L15:L16)</f>
        <v>12.070181818181817</v>
      </c>
      <c r="M17" s="242">
        <v>1.5</v>
      </c>
      <c r="N17" s="53">
        <f>L17*M17</f>
        <v>18.105272727272727</v>
      </c>
    </row>
    <row r="18" spans="1:16" ht="16.5" thickTop="1" thickBot="1" x14ac:dyDescent="0.3">
      <c r="A18" s="610" t="s">
        <v>333</v>
      </c>
      <c r="B18" s="610"/>
      <c r="C18" s="610"/>
      <c r="D18" s="610"/>
      <c r="E18" s="610"/>
      <c r="F18" s="610"/>
      <c r="G18" s="610"/>
      <c r="H18" s="610"/>
      <c r="I18" s="610"/>
      <c r="J18" s="610"/>
      <c r="L18" s="53">
        <f>L17/2</f>
        <v>6.0350909090909086</v>
      </c>
    </row>
    <row r="19" spans="1:16" ht="16.5" thickTop="1" thickBot="1" x14ac:dyDescent="0.3">
      <c r="A19" s="607" t="s">
        <v>332</v>
      </c>
      <c r="B19" s="607"/>
      <c r="C19" s="607"/>
      <c r="D19" s="607"/>
      <c r="E19" s="607"/>
      <c r="F19" s="607" t="s">
        <v>331</v>
      </c>
      <c r="G19" s="607" t="s">
        <v>277</v>
      </c>
      <c r="H19" s="607"/>
      <c r="I19" s="607"/>
      <c r="J19" s="607"/>
      <c r="L19" s="53">
        <f>L17+L18</f>
        <v>18.105272727272727</v>
      </c>
    </row>
    <row r="20" spans="1:16" ht="16.5" thickTop="1" thickBot="1" x14ac:dyDescent="0.3">
      <c r="A20" s="607"/>
      <c r="B20" s="607"/>
      <c r="C20" s="607"/>
      <c r="D20" s="607"/>
      <c r="E20" s="607"/>
      <c r="F20" s="607"/>
      <c r="G20" s="607" t="s">
        <v>330</v>
      </c>
      <c r="H20" s="607"/>
      <c r="I20" s="607"/>
      <c r="J20" s="219" t="s">
        <v>57</v>
      </c>
    </row>
    <row r="21" spans="1:16" ht="16.5" thickTop="1" thickBot="1" x14ac:dyDescent="0.3">
      <c r="A21" s="193" t="s">
        <v>23</v>
      </c>
      <c r="B21" s="217" t="s">
        <v>211</v>
      </c>
      <c r="C21" s="169"/>
      <c r="D21" s="169"/>
      <c r="E21" s="169"/>
      <c r="F21" s="171">
        <v>1</v>
      </c>
      <c r="G21" s="613">
        <f>G15</f>
        <v>1702.49</v>
      </c>
      <c r="H21" s="613"/>
      <c r="I21" s="613"/>
      <c r="J21" s="271">
        <f>G21*F21</f>
        <v>1702.49</v>
      </c>
    </row>
    <row r="22" spans="1:16" ht="16.5" thickTop="1" thickBot="1" x14ac:dyDescent="0.3">
      <c r="A22" s="193" t="s">
        <v>30</v>
      </c>
      <c r="B22" s="217" t="s">
        <v>329</v>
      </c>
      <c r="C22" s="169"/>
      <c r="D22" s="169"/>
      <c r="E22" s="169"/>
      <c r="F22" s="171">
        <v>120</v>
      </c>
      <c r="G22" s="613">
        <f>ROUND(((G21*1.3)/220)*20%,2)</f>
        <v>2.0099999999999998</v>
      </c>
      <c r="H22" s="613"/>
      <c r="I22" s="613"/>
      <c r="J22" s="271">
        <f>ROUND(F22*G22,2)</f>
        <v>241.2</v>
      </c>
      <c r="L22">
        <f>60/52.5</f>
        <v>1.1428571428571428</v>
      </c>
      <c r="M22">
        <v>7</v>
      </c>
      <c r="N22">
        <f>L22*M22</f>
        <v>8</v>
      </c>
      <c r="O22">
        <v>15</v>
      </c>
      <c r="P22">
        <f>N22*O22</f>
        <v>120</v>
      </c>
    </row>
    <row r="23" spans="1:16" ht="16.5" thickTop="1" thickBot="1" x14ac:dyDescent="0.3">
      <c r="A23" s="193" t="s">
        <v>32</v>
      </c>
      <c r="B23" s="217" t="s">
        <v>328</v>
      </c>
      <c r="C23" s="169"/>
      <c r="D23" s="169"/>
      <c r="E23" s="169"/>
      <c r="F23" s="278">
        <v>0.16666666666666666</v>
      </c>
      <c r="G23" s="613">
        <v>0</v>
      </c>
      <c r="H23" s="613"/>
      <c r="I23" s="613"/>
      <c r="J23" s="271"/>
      <c r="P23">
        <v>1.74</v>
      </c>
    </row>
    <row r="24" spans="1:16" ht="16.5" thickTop="1" thickBot="1" x14ac:dyDescent="0.3">
      <c r="A24" s="193" t="s">
        <v>25</v>
      </c>
      <c r="B24" s="217" t="s">
        <v>327</v>
      </c>
      <c r="C24" s="169"/>
      <c r="D24" s="169"/>
      <c r="E24" s="169"/>
      <c r="F24" s="171">
        <v>15</v>
      </c>
      <c r="G24" s="613">
        <v>18.11</v>
      </c>
      <c r="H24" s="613"/>
      <c r="I24" s="613"/>
      <c r="J24" s="271">
        <f>ROUND(F24*G24,2)</f>
        <v>271.64999999999998</v>
      </c>
      <c r="P24">
        <f>P23*P22</f>
        <v>208.8</v>
      </c>
    </row>
    <row r="25" spans="1:16" ht="16.5" thickTop="1" thickBot="1" x14ac:dyDescent="0.3">
      <c r="A25" s="193" t="s">
        <v>20</v>
      </c>
      <c r="B25" s="217" t="s">
        <v>326</v>
      </c>
      <c r="C25" s="169"/>
      <c r="D25" s="169"/>
      <c r="E25" s="169">
        <f>C25*D25</f>
        <v>0</v>
      </c>
      <c r="F25" s="278">
        <v>0.16666666666666666</v>
      </c>
      <c r="G25" s="613">
        <v>0</v>
      </c>
      <c r="H25" s="613"/>
      <c r="I25" s="613"/>
      <c r="J25" s="271"/>
      <c r="M25" s="53">
        <f>J22/6</f>
        <v>40.199999999999996</v>
      </c>
    </row>
    <row r="26" spans="1:16" ht="16.5" thickTop="1" thickBot="1" x14ac:dyDescent="0.3">
      <c r="A26" s="193" t="s">
        <v>37</v>
      </c>
      <c r="B26" s="217" t="s">
        <v>325</v>
      </c>
      <c r="C26" s="169"/>
      <c r="D26" s="169"/>
      <c r="E26" s="169"/>
      <c r="F26" s="171">
        <v>0</v>
      </c>
      <c r="G26" s="613">
        <f>(G15*1.3/220)*1.5</f>
        <v>15.090252272727273</v>
      </c>
      <c r="H26" s="613"/>
      <c r="I26" s="613"/>
      <c r="J26" s="271">
        <f>ROUND(F26*G26,2)</f>
        <v>0</v>
      </c>
    </row>
    <row r="27" spans="1:16" ht="16.5" thickTop="1" thickBot="1" x14ac:dyDescent="0.3">
      <c r="A27" s="193" t="s">
        <v>11</v>
      </c>
      <c r="B27" s="217" t="s">
        <v>324</v>
      </c>
      <c r="C27" s="169"/>
      <c r="D27" s="169"/>
      <c r="E27" s="169"/>
      <c r="F27" s="278">
        <v>0.16666666666666666</v>
      </c>
      <c r="G27" s="613">
        <f>J26</f>
        <v>0</v>
      </c>
      <c r="H27" s="613"/>
      <c r="I27" s="613"/>
      <c r="J27" s="271">
        <f>G27/6</f>
        <v>0</v>
      </c>
    </row>
    <row r="28" spans="1:16" ht="16.5" thickTop="1" thickBot="1" x14ac:dyDescent="0.3">
      <c r="A28" s="193" t="s">
        <v>131</v>
      </c>
      <c r="B28" s="217" t="s">
        <v>323</v>
      </c>
      <c r="C28" s="169"/>
      <c r="D28" s="169"/>
      <c r="E28" s="169">
        <f>C28*D28</f>
        <v>0</v>
      </c>
      <c r="F28" s="171">
        <v>0</v>
      </c>
      <c r="G28" s="613">
        <f>G24</f>
        <v>18.11</v>
      </c>
      <c r="H28" s="613"/>
      <c r="I28" s="613"/>
      <c r="J28" s="271">
        <f>+G28*F28</f>
        <v>0</v>
      </c>
    </row>
    <row r="29" spans="1:16" ht="16.5" thickTop="1" thickBot="1" x14ac:dyDescent="0.3">
      <c r="A29" s="193" t="s">
        <v>205</v>
      </c>
      <c r="B29" s="217" t="s">
        <v>322</v>
      </c>
      <c r="C29" s="169"/>
      <c r="D29" s="169"/>
      <c r="E29" s="169"/>
      <c r="F29" s="278">
        <v>0.16666666666666666</v>
      </c>
      <c r="G29" s="613">
        <f>+J28</f>
        <v>0</v>
      </c>
      <c r="H29" s="613"/>
      <c r="I29" s="613"/>
      <c r="J29" s="271">
        <f>+J28/6</f>
        <v>0</v>
      </c>
    </row>
    <row r="30" spans="1:16" ht="16.5" thickTop="1" thickBot="1" x14ac:dyDescent="0.3">
      <c r="A30" s="193" t="s">
        <v>321</v>
      </c>
      <c r="B30" s="217" t="s">
        <v>320</v>
      </c>
      <c r="C30" s="169"/>
      <c r="D30" s="169"/>
      <c r="E30" s="169"/>
      <c r="F30" s="281">
        <v>0.3</v>
      </c>
      <c r="G30" s="613">
        <f>J21</f>
        <v>1702.49</v>
      </c>
      <c r="H30" s="613"/>
      <c r="I30" s="613"/>
      <c r="J30" s="271">
        <f>ROUND(F30*G30,2)</f>
        <v>510.75</v>
      </c>
    </row>
    <row r="31" spans="1:16" ht="16.5" thickTop="1" thickBot="1" x14ac:dyDescent="0.3">
      <c r="A31" s="193" t="s">
        <v>319</v>
      </c>
      <c r="B31" s="217" t="s">
        <v>318</v>
      </c>
      <c r="C31" s="169"/>
      <c r="D31" s="169"/>
      <c r="E31" s="169"/>
      <c r="F31" s="280">
        <v>0</v>
      </c>
      <c r="G31" s="613">
        <f>(G15*1.3/220)*2</f>
        <v>20.120336363636365</v>
      </c>
      <c r="H31" s="613"/>
      <c r="I31" s="613"/>
      <c r="J31" s="271">
        <f>+G31*F31</f>
        <v>0</v>
      </c>
    </row>
    <row r="32" spans="1:16" ht="16.5" thickTop="1" thickBot="1" x14ac:dyDescent="0.3">
      <c r="A32" s="193" t="s">
        <v>317</v>
      </c>
      <c r="B32" s="217" t="s">
        <v>316</v>
      </c>
      <c r="C32" s="169"/>
      <c r="D32" s="169"/>
      <c r="E32" s="169"/>
      <c r="F32" s="278">
        <v>0</v>
      </c>
      <c r="G32" s="613">
        <f>+J31</f>
        <v>0</v>
      </c>
      <c r="H32" s="613"/>
      <c r="I32" s="613"/>
      <c r="J32" s="271">
        <v>0</v>
      </c>
      <c r="P32" s="53">
        <f>J23+J25</f>
        <v>0</v>
      </c>
    </row>
    <row r="33" spans="1:12" ht="16.5" thickTop="1" thickBot="1" x14ac:dyDescent="0.3">
      <c r="A33" s="193" t="s">
        <v>315</v>
      </c>
      <c r="B33" s="217" t="s">
        <v>314</v>
      </c>
      <c r="C33" s="169"/>
      <c r="D33" s="169"/>
      <c r="E33" s="169"/>
      <c r="F33" s="279">
        <v>0</v>
      </c>
      <c r="G33" s="613">
        <f>G31</f>
        <v>20.120336363636365</v>
      </c>
      <c r="H33" s="613"/>
      <c r="I33" s="613"/>
      <c r="J33" s="271">
        <f>ROUND(F33*G33,2)</f>
        <v>0</v>
      </c>
    </row>
    <row r="34" spans="1:12" ht="16.5" thickTop="1" thickBot="1" x14ac:dyDescent="0.3">
      <c r="A34" s="277" t="s">
        <v>106</v>
      </c>
      <c r="B34" s="217" t="s">
        <v>312</v>
      </c>
      <c r="C34" s="169"/>
      <c r="D34" s="169"/>
      <c r="E34" s="169"/>
      <c r="F34" s="278">
        <v>0.16666666666666666</v>
      </c>
      <c r="G34" s="613">
        <f>+J33</f>
        <v>0</v>
      </c>
      <c r="H34" s="613"/>
      <c r="I34" s="613"/>
      <c r="J34" s="271">
        <f>+J33/6</f>
        <v>0</v>
      </c>
    </row>
    <row r="35" spans="1:12" ht="16.5" thickTop="1" thickBot="1" x14ac:dyDescent="0.3">
      <c r="A35" s="193"/>
      <c r="B35" s="607" t="s">
        <v>107</v>
      </c>
      <c r="C35" s="607"/>
      <c r="D35" s="607"/>
      <c r="E35" s="607"/>
      <c r="F35" s="607"/>
      <c r="G35" s="613"/>
      <c r="H35" s="613"/>
      <c r="I35" s="613"/>
      <c r="J35" s="276">
        <f>SUM(J21:J34)</f>
        <v>2726.09</v>
      </c>
      <c r="L35" s="53"/>
    </row>
    <row r="36" spans="1:12" ht="16.5" thickTop="1" thickBot="1" x14ac:dyDescent="0.3">
      <c r="A36" s="152"/>
      <c r="B36" s="180"/>
      <c r="C36" s="180"/>
      <c r="D36" s="180"/>
      <c r="E36" s="180"/>
      <c r="F36" s="180"/>
      <c r="G36" s="178"/>
      <c r="H36" s="178"/>
      <c r="I36" s="178"/>
      <c r="J36" s="275"/>
    </row>
    <row r="37" spans="1:12" ht="16.5" thickTop="1" thickBot="1" x14ac:dyDescent="0.3">
      <c r="A37" s="212" t="s">
        <v>311</v>
      </c>
      <c r="B37" s="169"/>
      <c r="C37" s="169"/>
      <c r="D37" s="169"/>
      <c r="E37" s="169"/>
      <c r="F37" s="169"/>
      <c r="G37" s="173"/>
      <c r="H37" s="173"/>
      <c r="I37" s="173"/>
      <c r="J37" s="211"/>
    </row>
    <row r="38" spans="1:12" ht="16.5" thickTop="1" thickBot="1" x14ac:dyDescent="0.3">
      <c r="A38" s="219" t="s">
        <v>117</v>
      </c>
      <c r="B38" s="522" t="s">
        <v>310</v>
      </c>
      <c r="C38" s="513"/>
      <c r="D38" s="513"/>
      <c r="E38" s="513"/>
      <c r="F38" s="523"/>
      <c r="G38" s="217"/>
      <c r="H38" s="274"/>
      <c r="I38" s="235"/>
      <c r="J38" s="226" t="s">
        <v>264</v>
      </c>
    </row>
    <row r="39" spans="1:12" ht="16.5" thickTop="1" thickBot="1" x14ac:dyDescent="0.3">
      <c r="A39" s="171" t="s">
        <v>23</v>
      </c>
      <c r="B39" s="217" t="s">
        <v>309</v>
      </c>
      <c r="C39" s="170"/>
      <c r="D39" s="170"/>
      <c r="E39" s="170"/>
      <c r="F39" s="210"/>
      <c r="G39" s="538">
        <f>ROUND(1/12,4)</f>
        <v>8.3299999999999999E-2</v>
      </c>
      <c r="H39" s="539"/>
      <c r="I39" s="556">
        <f>G39*J35</f>
        <v>227.08329700000002</v>
      </c>
      <c r="J39" s="558"/>
    </row>
    <row r="40" spans="1:12" ht="16.5" thickTop="1" thickBot="1" x14ac:dyDescent="0.3">
      <c r="A40" s="171" t="s">
        <v>30</v>
      </c>
      <c r="B40" s="540" t="s">
        <v>308</v>
      </c>
      <c r="C40" s="541"/>
      <c r="D40" s="541"/>
      <c r="E40" s="541"/>
      <c r="F40" s="542"/>
      <c r="G40" s="543">
        <f>12.1%</f>
        <v>0.121</v>
      </c>
      <c r="H40" s="544"/>
      <c r="I40" s="614">
        <f>G40*J35</f>
        <v>329.85689000000002</v>
      </c>
      <c r="J40" s="615"/>
      <c r="L40" s="115"/>
    </row>
    <row r="41" spans="1:12" ht="16.5" thickTop="1" thickBot="1" x14ac:dyDescent="0.3">
      <c r="A41" s="510" t="s">
        <v>121</v>
      </c>
      <c r="B41" s="511"/>
      <c r="C41" s="511"/>
      <c r="D41" s="511"/>
      <c r="E41" s="511"/>
      <c r="F41" s="511"/>
      <c r="G41" s="616">
        <f>SUM(G39:H40)</f>
        <v>0.20429999999999998</v>
      </c>
      <c r="H41" s="511"/>
      <c r="I41" s="231"/>
      <c r="J41" s="271">
        <f>I40+I39</f>
        <v>556.94018700000004</v>
      </c>
    </row>
    <row r="42" spans="1:12" ht="16.5" thickTop="1" thickBot="1" x14ac:dyDescent="0.3">
      <c r="A42" s="237"/>
      <c r="B42" s="173"/>
      <c r="C42" s="173"/>
      <c r="D42" s="173"/>
      <c r="E42" s="173"/>
      <c r="F42" s="173"/>
      <c r="G42" s="173"/>
      <c r="H42" s="261"/>
      <c r="I42" s="221"/>
      <c r="J42" s="220"/>
    </row>
    <row r="43" spans="1:12" ht="16.5" thickTop="1" thickBot="1" x14ac:dyDescent="0.3">
      <c r="A43" s="212" t="s">
        <v>307</v>
      </c>
      <c r="B43" s="169"/>
      <c r="C43" s="169"/>
      <c r="D43" s="169"/>
      <c r="E43" s="169"/>
      <c r="F43" s="169"/>
      <c r="G43" s="173"/>
      <c r="H43" s="173"/>
      <c r="I43" s="173"/>
      <c r="J43" s="211"/>
    </row>
    <row r="44" spans="1:12" ht="16.5" thickTop="1" thickBot="1" x14ac:dyDescent="0.3">
      <c r="A44" s="219" t="s">
        <v>4</v>
      </c>
      <c r="B44" s="523" t="s">
        <v>306</v>
      </c>
      <c r="C44" s="523"/>
      <c r="D44" s="523"/>
      <c r="E44" s="523"/>
      <c r="F44" s="523"/>
      <c r="G44" s="617" t="s">
        <v>126</v>
      </c>
      <c r="H44" s="617"/>
      <c r="I44" s="235"/>
      <c r="J44" s="226">
        <f>H44*(J$34+J$40)</f>
        <v>0</v>
      </c>
    </row>
    <row r="45" spans="1:12" ht="16.5" thickTop="1" thickBot="1" x14ac:dyDescent="0.3">
      <c r="A45" s="171" t="s">
        <v>23</v>
      </c>
      <c r="B45" s="169" t="s">
        <v>127</v>
      </c>
      <c r="C45" s="170"/>
      <c r="D45" s="170"/>
      <c r="E45" s="170"/>
      <c r="F45" s="170"/>
      <c r="G45" s="266"/>
      <c r="H45" s="250">
        <v>0.2</v>
      </c>
      <c r="I45" s="221"/>
      <c r="J45" s="225">
        <f t="shared" ref="J45:J53" si="0">H45*(J$35+J$41)</f>
        <v>656.6060374000001</v>
      </c>
    </row>
    <row r="46" spans="1:12" ht="16.5" thickTop="1" thickBot="1" x14ac:dyDescent="0.3">
      <c r="A46" s="171" t="s">
        <v>30</v>
      </c>
      <c r="B46" s="169" t="s">
        <v>305</v>
      </c>
      <c r="C46" s="170"/>
      <c r="D46" s="170"/>
      <c r="E46" s="170"/>
      <c r="F46" s="170"/>
      <c r="G46" s="266"/>
      <c r="H46" s="250">
        <v>1.4999999999999999E-2</v>
      </c>
      <c r="I46" s="221"/>
      <c r="J46" s="225">
        <f t="shared" si="0"/>
        <v>49.245452804999999</v>
      </c>
    </row>
    <row r="47" spans="1:12" ht="16.5" thickTop="1" thickBot="1" x14ac:dyDescent="0.3">
      <c r="A47" s="171" t="s">
        <v>32</v>
      </c>
      <c r="B47" s="169" t="s">
        <v>130</v>
      </c>
      <c r="C47" s="170"/>
      <c r="D47" s="170"/>
      <c r="E47" s="170"/>
      <c r="F47" s="170"/>
      <c r="G47" s="266"/>
      <c r="H47" s="250">
        <v>0.01</v>
      </c>
      <c r="I47" s="221"/>
      <c r="J47" s="225">
        <f t="shared" si="0"/>
        <v>32.830301870000007</v>
      </c>
    </row>
    <row r="48" spans="1:12" ht="16.5" thickTop="1" thickBot="1" x14ac:dyDescent="0.3">
      <c r="A48" s="171" t="s">
        <v>25</v>
      </c>
      <c r="B48" s="169" t="s">
        <v>133</v>
      </c>
      <c r="C48" s="170"/>
      <c r="D48" s="170"/>
      <c r="E48" s="170"/>
      <c r="F48" s="170"/>
      <c r="G48" s="266"/>
      <c r="H48" s="250">
        <v>2E-3</v>
      </c>
      <c r="I48" s="221"/>
      <c r="J48" s="225">
        <f t="shared" si="0"/>
        <v>6.566060374000001</v>
      </c>
    </row>
    <row r="49" spans="1:13" ht="16.5" thickTop="1" thickBot="1" x14ac:dyDescent="0.3">
      <c r="A49" s="171" t="s">
        <v>20</v>
      </c>
      <c r="B49" s="169" t="s">
        <v>128</v>
      </c>
      <c r="C49" s="170"/>
      <c r="D49" s="170"/>
      <c r="E49" s="170"/>
      <c r="F49" s="170"/>
      <c r="G49" s="266"/>
      <c r="H49" s="250">
        <v>2.5000000000000001E-2</v>
      </c>
      <c r="I49" s="221"/>
      <c r="J49" s="225">
        <f t="shared" si="0"/>
        <v>82.075754675000013</v>
      </c>
    </row>
    <row r="50" spans="1:13" ht="16.5" thickTop="1" thickBot="1" x14ac:dyDescent="0.3">
      <c r="A50" s="171" t="s">
        <v>37</v>
      </c>
      <c r="B50" s="169" t="s">
        <v>134</v>
      </c>
      <c r="C50" s="170"/>
      <c r="D50" s="170"/>
      <c r="E50" s="170"/>
      <c r="F50" s="218"/>
      <c r="G50" s="266"/>
      <c r="H50" s="250">
        <v>0.08</v>
      </c>
      <c r="I50" s="221"/>
      <c r="J50" s="225">
        <f t="shared" si="0"/>
        <v>262.64241496000005</v>
      </c>
      <c r="K50" s="270"/>
      <c r="L50" s="242"/>
      <c r="M50" s="242"/>
    </row>
    <row r="51" spans="1:13" ht="16.5" thickTop="1" thickBot="1" x14ac:dyDescent="0.3">
      <c r="A51" s="268" t="s">
        <v>11</v>
      </c>
      <c r="B51" s="267" t="s">
        <v>304</v>
      </c>
      <c r="C51" s="188"/>
      <c r="D51" s="188"/>
      <c r="E51" s="188"/>
      <c r="F51" s="188"/>
      <c r="G51" s="266"/>
      <c r="H51" s="250">
        <v>0.03</v>
      </c>
      <c r="I51" s="221"/>
      <c r="J51" s="225">
        <f t="shared" si="0"/>
        <v>98.490905609999999</v>
      </c>
    </row>
    <row r="52" spans="1:13" ht="16.5" thickTop="1" thickBot="1" x14ac:dyDescent="0.3">
      <c r="A52" s="265" t="s">
        <v>131</v>
      </c>
      <c r="B52" s="547" t="s">
        <v>132</v>
      </c>
      <c r="C52" s="548"/>
      <c r="D52" s="548"/>
      <c r="E52" s="548"/>
      <c r="F52" s="549"/>
      <c r="G52" s="264"/>
      <c r="H52" s="250">
        <v>6.0000000000000001E-3</v>
      </c>
      <c r="I52" s="221"/>
      <c r="J52" s="225">
        <f t="shared" si="0"/>
        <v>19.698181122000001</v>
      </c>
    </row>
    <row r="53" spans="1:13" ht="16.5" thickTop="1" thickBot="1" x14ac:dyDescent="0.3">
      <c r="A53" s="530" t="s">
        <v>121</v>
      </c>
      <c r="B53" s="530"/>
      <c r="C53" s="530"/>
      <c r="D53" s="530"/>
      <c r="E53" s="530"/>
      <c r="F53" s="530"/>
      <c r="G53" s="263"/>
      <c r="H53" s="262">
        <f>SUM(H45:H52)</f>
        <v>0.3680000000000001</v>
      </c>
      <c r="I53" s="227"/>
      <c r="J53" s="220">
        <f t="shared" si="0"/>
        <v>1208.1551088160004</v>
      </c>
    </row>
    <row r="54" spans="1:13" ht="16.5" thickTop="1" thickBot="1" x14ac:dyDescent="0.3">
      <c r="A54" s="237"/>
      <c r="B54" s="173"/>
      <c r="C54" s="173"/>
      <c r="D54" s="173"/>
      <c r="E54" s="173"/>
      <c r="F54" s="173"/>
      <c r="G54" s="173"/>
      <c r="H54" s="261"/>
      <c r="I54" s="221"/>
      <c r="J54" s="220"/>
    </row>
    <row r="55" spans="1:13" ht="16.5" thickTop="1" thickBot="1" x14ac:dyDescent="0.3">
      <c r="A55" s="510"/>
      <c r="B55" s="511"/>
      <c r="C55" s="511"/>
      <c r="D55" s="511"/>
      <c r="E55" s="511"/>
      <c r="F55" s="511"/>
      <c r="G55" s="511"/>
      <c r="H55" s="511"/>
      <c r="I55" s="511"/>
      <c r="J55" s="512"/>
    </row>
    <row r="56" spans="1:13" ht="16.5" thickTop="1" thickBot="1" x14ac:dyDescent="0.3">
      <c r="A56" s="522" t="s">
        <v>303</v>
      </c>
      <c r="B56" s="513"/>
      <c r="C56" s="513"/>
      <c r="D56" s="513"/>
      <c r="E56" s="513"/>
      <c r="F56" s="523"/>
      <c r="G56" s="607" t="s">
        <v>302</v>
      </c>
      <c r="H56" s="607"/>
      <c r="I56" s="607"/>
      <c r="J56" s="607"/>
    </row>
    <row r="57" spans="1:13" ht="16.5" thickTop="1" thickBot="1" x14ac:dyDescent="0.3">
      <c r="A57" s="193" t="s">
        <v>23</v>
      </c>
      <c r="B57" s="217" t="s">
        <v>301</v>
      </c>
      <c r="C57" s="169"/>
      <c r="D57" s="169"/>
      <c r="E57" s="169"/>
      <c r="F57" s="216"/>
      <c r="G57" s="618">
        <f>(15*2*4*F21)-(J21*6%)</f>
        <v>17.8506</v>
      </c>
      <c r="H57" s="618"/>
      <c r="I57" s="618"/>
      <c r="J57" s="618"/>
    </row>
    <row r="58" spans="1:13" ht="16.5" thickTop="1" thickBot="1" x14ac:dyDescent="0.3">
      <c r="A58" s="193" t="s">
        <v>42</v>
      </c>
      <c r="B58" s="217" t="s">
        <v>300</v>
      </c>
      <c r="C58" s="169"/>
      <c r="D58" s="169"/>
      <c r="E58" s="169"/>
      <c r="F58" s="216"/>
      <c r="G58" s="618">
        <f>(15*36)-1%*(15*36)</f>
        <v>534.6</v>
      </c>
      <c r="H58" s="618"/>
      <c r="I58" s="618"/>
      <c r="J58" s="618"/>
    </row>
    <row r="59" spans="1:13" ht="13.9" customHeight="1" thickTop="1" thickBot="1" x14ac:dyDescent="0.3">
      <c r="A59" s="193" t="s">
        <v>32</v>
      </c>
      <c r="B59" s="217" t="s">
        <v>139</v>
      </c>
      <c r="C59" s="169"/>
      <c r="D59" s="169"/>
      <c r="E59" s="169"/>
      <c r="F59" s="260"/>
      <c r="G59" s="619">
        <v>0</v>
      </c>
      <c r="H59" s="619"/>
      <c r="I59" s="619"/>
      <c r="J59" s="619"/>
    </row>
    <row r="60" spans="1:13" ht="13.9" customHeight="1" thickTop="1" thickBot="1" x14ac:dyDescent="0.3">
      <c r="A60" s="193" t="s">
        <v>25</v>
      </c>
      <c r="B60" s="217" t="s">
        <v>140</v>
      </c>
      <c r="C60" s="169"/>
      <c r="D60" s="169"/>
      <c r="E60" s="169"/>
      <c r="F60" s="260"/>
      <c r="G60" s="619">
        <v>0</v>
      </c>
      <c r="H60" s="619"/>
      <c r="I60" s="619"/>
      <c r="J60" s="619"/>
    </row>
    <row r="61" spans="1:13" ht="13.9" customHeight="1" thickTop="1" thickBot="1" x14ac:dyDescent="0.3">
      <c r="A61" s="193" t="s">
        <v>20</v>
      </c>
      <c r="B61" s="217" t="s">
        <v>21</v>
      </c>
      <c r="C61" s="169"/>
      <c r="D61" s="169"/>
      <c r="E61" s="169"/>
      <c r="F61" s="260"/>
      <c r="G61" s="619">
        <v>11.78</v>
      </c>
      <c r="H61" s="619"/>
      <c r="I61" s="619"/>
      <c r="J61" s="619"/>
    </row>
    <row r="62" spans="1:13" ht="13.9" customHeight="1" thickTop="1" thickBot="1" x14ac:dyDescent="0.3">
      <c r="A62" s="193" t="s">
        <v>37</v>
      </c>
      <c r="B62" s="540" t="s">
        <v>299</v>
      </c>
      <c r="C62" s="541"/>
      <c r="D62" s="541"/>
      <c r="E62" s="541"/>
      <c r="F62" s="542"/>
      <c r="G62" s="556">
        <f>20.12/2</f>
        <v>10.06</v>
      </c>
      <c r="H62" s="557"/>
      <c r="I62" s="557"/>
      <c r="J62" s="558"/>
    </row>
    <row r="63" spans="1:13" ht="13.9" customHeight="1" thickTop="1" thickBot="1" x14ac:dyDescent="0.3">
      <c r="A63" s="193"/>
      <c r="B63" s="510" t="s">
        <v>141</v>
      </c>
      <c r="C63" s="510"/>
      <c r="D63" s="510"/>
      <c r="E63" s="510"/>
      <c r="F63" s="510"/>
      <c r="G63" s="620">
        <f>SUM(G57:J61)</f>
        <v>564.23059999999998</v>
      </c>
      <c r="H63" s="620"/>
      <c r="I63" s="620"/>
      <c r="J63" s="620"/>
    </row>
    <row r="64" spans="1:13" ht="13.9" customHeight="1" thickTop="1" thickBot="1" x14ac:dyDescent="0.3">
      <c r="A64" s="152"/>
      <c r="B64" s="180"/>
      <c r="C64" s="180"/>
      <c r="D64" s="180"/>
      <c r="E64" s="180"/>
      <c r="F64" s="180"/>
      <c r="G64" s="152"/>
      <c r="H64" s="152"/>
      <c r="I64" s="152"/>
      <c r="J64" s="215"/>
    </row>
    <row r="65" spans="1:17" ht="18" customHeight="1" thickTop="1" thickBot="1" x14ac:dyDescent="0.3">
      <c r="A65" s="621" t="s">
        <v>297</v>
      </c>
      <c r="B65" s="621"/>
      <c r="C65" s="621"/>
      <c r="D65" s="621"/>
      <c r="E65" s="621"/>
      <c r="F65" s="621"/>
      <c r="G65" s="621"/>
      <c r="H65" s="621"/>
      <c r="I65" s="621"/>
      <c r="J65" s="621"/>
    </row>
    <row r="66" spans="1:17" ht="20.45" customHeight="1" thickTop="1" thickBot="1" x14ac:dyDescent="0.3">
      <c r="A66" s="522" t="s">
        <v>296</v>
      </c>
      <c r="B66" s="513"/>
      <c r="C66" s="513"/>
      <c r="D66" s="513"/>
      <c r="E66" s="513"/>
      <c r="F66" s="523"/>
      <c r="G66" s="510" t="s">
        <v>277</v>
      </c>
      <c r="H66" s="511"/>
      <c r="I66" s="511"/>
      <c r="J66" s="512"/>
    </row>
    <row r="67" spans="1:17" ht="13.9" customHeight="1" thickTop="1" thickBot="1" x14ac:dyDescent="0.3">
      <c r="A67" s="199" t="s">
        <v>117</v>
      </c>
      <c r="B67" s="191" t="s">
        <v>146</v>
      </c>
      <c r="C67" s="251"/>
      <c r="D67" s="170"/>
      <c r="E67" s="170"/>
      <c r="F67" s="250"/>
      <c r="G67" s="568">
        <f>J41</f>
        <v>556.94018700000004</v>
      </c>
      <c r="H67" s="569"/>
      <c r="I67" s="569"/>
      <c r="J67" s="570"/>
    </row>
    <row r="68" spans="1:17" ht="13.9" customHeight="1" thickTop="1" thickBot="1" x14ac:dyDescent="0.3">
      <c r="A68" s="193" t="s">
        <v>4</v>
      </c>
      <c r="B68" s="540" t="s">
        <v>147</v>
      </c>
      <c r="C68" s="541"/>
      <c r="D68" s="541"/>
      <c r="E68" s="541"/>
      <c r="F68" s="542"/>
      <c r="G68" s="568">
        <f>J53</f>
        <v>1208.1551088160004</v>
      </c>
      <c r="H68" s="569"/>
      <c r="I68" s="569"/>
      <c r="J68" s="570"/>
    </row>
    <row r="69" spans="1:17" ht="13.9" customHeight="1" thickTop="1" thickBot="1" x14ac:dyDescent="0.3">
      <c r="A69" s="193" t="s">
        <v>148</v>
      </c>
      <c r="B69" s="540" t="s">
        <v>149</v>
      </c>
      <c r="C69" s="541"/>
      <c r="D69" s="541"/>
      <c r="E69" s="541"/>
      <c r="F69" s="542"/>
      <c r="G69" s="568">
        <f>G63</f>
        <v>564.23059999999998</v>
      </c>
      <c r="H69" s="569"/>
      <c r="I69" s="569"/>
      <c r="J69" s="570"/>
    </row>
    <row r="70" spans="1:17" ht="13.9" customHeight="1" thickTop="1" thickBot="1" x14ac:dyDescent="0.3">
      <c r="A70" s="514" t="s">
        <v>150</v>
      </c>
      <c r="B70" s="515"/>
      <c r="C70" s="515"/>
      <c r="D70" s="515"/>
      <c r="E70" s="515"/>
      <c r="F70" s="516"/>
      <c r="G70" s="576">
        <f>SUM(G67:J69)</f>
        <v>2329.3258958160004</v>
      </c>
      <c r="H70" s="577"/>
      <c r="I70" s="577"/>
      <c r="J70" s="578"/>
      <c r="L70">
        <f>L49</f>
        <v>0</v>
      </c>
    </row>
    <row r="71" spans="1:17" ht="16.5" thickTop="1" thickBot="1" x14ac:dyDescent="0.3">
      <c r="A71" s="219">
        <v>3</v>
      </c>
      <c r="B71" s="218" t="s">
        <v>295</v>
      </c>
      <c r="C71" s="170"/>
      <c r="D71" s="170"/>
      <c r="E71" s="170"/>
      <c r="F71" s="170"/>
      <c r="G71" s="169"/>
      <c r="H71" s="169"/>
      <c r="I71" s="235"/>
      <c r="J71" s="226" t="s">
        <v>264</v>
      </c>
    </row>
    <row r="72" spans="1:17" ht="16.5" thickTop="1" thickBot="1" x14ac:dyDescent="0.3">
      <c r="A72" s="171" t="s">
        <v>23</v>
      </c>
      <c r="B72" s="169" t="s">
        <v>294</v>
      </c>
      <c r="C72" s="170"/>
      <c r="D72" s="170"/>
      <c r="E72" s="170"/>
      <c r="F72" s="170"/>
      <c r="G72" s="622">
        <f>4.65%*10%</f>
        <v>4.6500000000000005E-3</v>
      </c>
      <c r="H72" s="622"/>
      <c r="I72" s="244"/>
      <c r="J72" s="225">
        <f>ROUND(G72*J35,2)</f>
        <v>12.68</v>
      </c>
    </row>
    <row r="73" spans="1:17" ht="16.5" thickTop="1" thickBot="1" x14ac:dyDescent="0.3">
      <c r="A73" s="171" t="s">
        <v>30</v>
      </c>
      <c r="B73" s="169" t="s">
        <v>152</v>
      </c>
      <c r="C73" s="170"/>
      <c r="D73" s="170"/>
      <c r="E73" s="170"/>
      <c r="F73" s="170"/>
      <c r="G73" s="622">
        <f>G72*H50</f>
        <v>3.7200000000000004E-4</v>
      </c>
      <c r="H73" s="622"/>
      <c r="I73" s="244"/>
      <c r="J73" s="225">
        <f>J72*8%</f>
        <v>1.0144</v>
      </c>
    </row>
    <row r="74" spans="1:17" s="245" customFormat="1" ht="16.5" thickTop="1" thickBot="1" x14ac:dyDescent="0.3">
      <c r="A74" s="249" t="s">
        <v>32</v>
      </c>
      <c r="B74" s="241" t="s">
        <v>293</v>
      </c>
      <c r="C74" s="240"/>
      <c r="D74" s="240"/>
      <c r="E74" s="240"/>
      <c r="F74" s="240"/>
      <c r="G74" s="623">
        <v>0.02</v>
      </c>
      <c r="H74" s="623"/>
      <c r="I74" s="248"/>
      <c r="J74" s="238">
        <f>G74*J35</f>
        <v>54.521800000000006</v>
      </c>
      <c r="L74" s="245">
        <f>50%*L70</f>
        <v>0</v>
      </c>
    </row>
    <row r="75" spans="1:17" ht="16.5" thickTop="1" thickBot="1" x14ac:dyDescent="0.3">
      <c r="A75" s="171" t="s">
        <v>25</v>
      </c>
      <c r="B75" s="169" t="s">
        <v>292</v>
      </c>
      <c r="C75" s="170"/>
      <c r="D75" s="170"/>
      <c r="E75" s="170"/>
      <c r="F75" s="170"/>
      <c r="G75" s="622">
        <f>3.98%*10%</f>
        <v>3.98E-3</v>
      </c>
      <c r="H75" s="622"/>
      <c r="I75" s="244"/>
      <c r="J75" s="225">
        <f>ROUND(G75*J35,2)</f>
        <v>10.85</v>
      </c>
      <c r="K75" s="291"/>
    </row>
    <row r="76" spans="1:17" ht="16.5" thickTop="1" thickBot="1" x14ac:dyDescent="0.3">
      <c r="A76" s="171" t="s">
        <v>20</v>
      </c>
      <c r="B76" s="169" t="s">
        <v>291</v>
      </c>
      <c r="C76" s="170"/>
      <c r="D76" s="170"/>
      <c r="E76" s="170"/>
      <c r="F76" s="170"/>
      <c r="G76" s="622">
        <f>G75*H53</f>
        <v>1.4646400000000003E-3</v>
      </c>
      <c r="H76" s="622"/>
      <c r="I76" s="244"/>
      <c r="J76" s="225">
        <f>H53*J75</f>
        <v>3.9928000000000008</v>
      </c>
      <c r="L76" s="242"/>
      <c r="M76" s="242"/>
    </row>
    <row r="77" spans="1:17" s="245" customFormat="1" ht="16.5" thickTop="1" thickBot="1" x14ac:dyDescent="0.3">
      <c r="A77" s="249" t="s">
        <v>37</v>
      </c>
      <c r="B77" s="241" t="s">
        <v>290</v>
      </c>
      <c r="C77" s="240"/>
      <c r="D77" s="240"/>
      <c r="E77" s="240"/>
      <c r="F77" s="240"/>
      <c r="G77" s="623">
        <v>0.02</v>
      </c>
      <c r="H77" s="623"/>
      <c r="I77" s="239"/>
      <c r="J77" s="238">
        <f>G77*J35</f>
        <v>54.521800000000006</v>
      </c>
      <c r="L77" s="245">
        <f>40%*L70</f>
        <v>0</v>
      </c>
    </row>
    <row r="78" spans="1:17" ht="16.5" thickTop="1" thickBot="1" x14ac:dyDescent="0.3">
      <c r="A78" s="510" t="s">
        <v>121</v>
      </c>
      <c r="B78" s="510"/>
      <c r="C78" s="510"/>
      <c r="D78" s="510"/>
      <c r="E78" s="510"/>
      <c r="F78" s="510"/>
      <c r="G78" s="237"/>
      <c r="H78" s="236">
        <f>SUM(G72:H77)</f>
        <v>5.0466640000000007E-2</v>
      </c>
      <c r="I78" s="235"/>
      <c r="J78" s="220">
        <f>SUM(J72:J77)</f>
        <v>137.58080000000001</v>
      </c>
    </row>
    <row r="79" spans="1:17" ht="16.5" thickTop="1" thickBot="1" x14ac:dyDescent="0.3">
      <c r="A79" s="152"/>
      <c r="B79" s="180"/>
      <c r="C79" s="180"/>
      <c r="D79" s="180"/>
      <c r="E79" s="180"/>
      <c r="F79" s="180"/>
      <c r="G79" s="229"/>
      <c r="H79" s="229"/>
      <c r="I79" s="229"/>
      <c r="J79" s="228"/>
      <c r="Q79" s="290"/>
    </row>
    <row r="80" spans="1:17" ht="16.5" thickTop="1" thickBot="1" x14ac:dyDescent="0.3">
      <c r="A80" s="219" t="s">
        <v>27</v>
      </c>
      <c r="B80" s="218" t="s">
        <v>289</v>
      </c>
      <c r="C80" s="170"/>
      <c r="D80" s="170"/>
      <c r="E80" s="170"/>
      <c r="F80" s="170"/>
      <c r="G80" s="169"/>
      <c r="H80" s="169"/>
      <c r="I80" s="227"/>
      <c r="J80" s="226" t="s">
        <v>264</v>
      </c>
      <c r="Q80" s="290"/>
    </row>
    <row r="81" spans="1:10" ht="16.5" thickTop="1" thickBot="1" x14ac:dyDescent="0.3">
      <c r="A81" s="171" t="s">
        <v>23</v>
      </c>
      <c r="B81" s="169" t="s">
        <v>288</v>
      </c>
      <c r="C81" s="170"/>
      <c r="D81" s="170"/>
      <c r="E81" s="170"/>
      <c r="F81" s="170"/>
      <c r="G81" s="217"/>
      <c r="H81" s="168">
        <v>1.01E-2</v>
      </c>
      <c r="I81" s="221"/>
      <c r="J81" s="225">
        <f>ROUND(H81*J35,2)</f>
        <v>27.53</v>
      </c>
    </row>
    <row r="82" spans="1:10" ht="16.5" thickTop="1" thickBot="1" x14ac:dyDescent="0.3">
      <c r="A82" s="171" t="s">
        <v>30</v>
      </c>
      <c r="B82" s="169" t="s">
        <v>287</v>
      </c>
      <c r="C82" s="170"/>
      <c r="D82" s="170"/>
      <c r="E82" s="170"/>
      <c r="F82" s="170"/>
      <c r="G82" s="217"/>
      <c r="H82" s="168">
        <v>0</v>
      </c>
      <c r="I82" s="221"/>
      <c r="J82" s="225">
        <f>ROUND(H82*J35,2)</f>
        <v>0</v>
      </c>
    </row>
    <row r="83" spans="1:10" ht="16.5" thickTop="1" thickBot="1" x14ac:dyDescent="0.3">
      <c r="A83" s="171" t="s">
        <v>32</v>
      </c>
      <c r="B83" s="169" t="s">
        <v>286</v>
      </c>
      <c r="C83" s="170"/>
      <c r="D83" s="170"/>
      <c r="E83" s="170"/>
      <c r="F83" s="170"/>
      <c r="G83" s="217"/>
      <c r="H83" s="168">
        <v>0</v>
      </c>
      <c r="I83" s="221"/>
      <c r="J83" s="225">
        <f>ROUND(H83*J35,2)</f>
        <v>0</v>
      </c>
    </row>
    <row r="84" spans="1:10" ht="16.5" thickTop="1" thickBot="1" x14ac:dyDescent="0.3">
      <c r="A84" s="171" t="s">
        <v>25</v>
      </c>
      <c r="B84" s="169" t="s">
        <v>285</v>
      </c>
      <c r="C84" s="170"/>
      <c r="D84" s="170"/>
      <c r="E84" s="170"/>
      <c r="F84" s="170"/>
      <c r="G84" s="217"/>
      <c r="H84" s="168">
        <v>0</v>
      </c>
      <c r="I84" s="221"/>
      <c r="J84" s="225">
        <f>ROUND(H84*J35,2)</f>
        <v>0</v>
      </c>
    </row>
    <row r="85" spans="1:10" ht="16.5" thickTop="1" thickBot="1" x14ac:dyDescent="0.3">
      <c r="A85" s="171" t="s">
        <v>20</v>
      </c>
      <c r="B85" s="169" t="s">
        <v>284</v>
      </c>
      <c r="C85" s="170"/>
      <c r="D85" s="170"/>
      <c r="E85" s="170"/>
      <c r="F85" s="170"/>
      <c r="G85" s="217"/>
      <c r="H85" s="168">
        <v>0</v>
      </c>
      <c r="I85" s="221"/>
      <c r="J85" s="225">
        <f>ROUND(H85*J35,2)</f>
        <v>0</v>
      </c>
    </row>
    <row r="86" spans="1:10" ht="16.5" thickTop="1" thickBot="1" x14ac:dyDescent="0.3">
      <c r="A86" s="171" t="s">
        <v>37</v>
      </c>
      <c r="B86" s="169" t="s">
        <v>283</v>
      </c>
      <c r="C86" s="170"/>
      <c r="D86" s="170"/>
      <c r="E86" s="170"/>
      <c r="F86" s="170"/>
      <c r="G86" s="217"/>
      <c r="H86" s="168">
        <v>0</v>
      </c>
      <c r="I86" s="221"/>
      <c r="J86" s="225">
        <f>H86*J35</f>
        <v>0</v>
      </c>
    </row>
    <row r="87" spans="1:10" ht="16.5" thickTop="1" thickBot="1" x14ac:dyDescent="0.3">
      <c r="A87" s="171" t="s">
        <v>37</v>
      </c>
      <c r="B87" s="169" t="s">
        <v>282</v>
      </c>
      <c r="C87" s="170"/>
      <c r="D87" s="170"/>
      <c r="E87" s="170"/>
      <c r="F87" s="170"/>
      <c r="G87" s="217"/>
      <c r="H87" s="168">
        <f>(H81+H82+H83+H84+H85+H86)*H53</f>
        <v>3.716800000000001E-3</v>
      </c>
      <c r="I87" s="221"/>
      <c r="J87" s="225">
        <f>H87*J35</f>
        <v>10.132331312000003</v>
      </c>
    </row>
    <row r="88" spans="1:10" ht="16.5" thickTop="1" thickBot="1" x14ac:dyDescent="0.3">
      <c r="A88" s="234" t="s">
        <v>115</v>
      </c>
      <c r="B88" s="233"/>
      <c r="C88" s="233"/>
      <c r="D88" s="233"/>
      <c r="E88" s="233"/>
      <c r="F88" s="233"/>
      <c r="G88" s="233"/>
      <c r="H88" s="232">
        <f>SUM(H81:H87)</f>
        <v>1.3816800000000001E-2</v>
      </c>
      <c r="I88" s="231"/>
      <c r="J88" s="230">
        <f>SUM(J81:J87)</f>
        <v>37.662331312000006</v>
      </c>
    </row>
    <row r="89" spans="1:10" ht="16.5" thickTop="1" thickBot="1" x14ac:dyDescent="0.3">
      <c r="A89" s="152"/>
      <c r="B89" s="180"/>
      <c r="C89" s="180"/>
      <c r="D89" s="180"/>
      <c r="E89" s="180"/>
      <c r="F89" s="180"/>
      <c r="G89" s="229"/>
      <c r="H89" s="229"/>
      <c r="I89" s="229"/>
      <c r="J89" s="228"/>
    </row>
    <row r="90" spans="1:10" ht="16.5" thickTop="1" thickBot="1" x14ac:dyDescent="0.3">
      <c r="A90" s="219" t="s">
        <v>162</v>
      </c>
      <c r="B90" s="218" t="s">
        <v>163</v>
      </c>
      <c r="C90" s="170"/>
      <c r="D90" s="170"/>
      <c r="E90" s="170"/>
      <c r="F90" s="170"/>
      <c r="G90" s="169"/>
      <c r="H90" s="169"/>
      <c r="I90" s="227"/>
      <c r="J90" s="226" t="s">
        <v>264</v>
      </c>
    </row>
    <row r="91" spans="1:10" ht="16.5" thickTop="1" thickBot="1" x14ac:dyDescent="0.3">
      <c r="A91" s="171" t="s">
        <v>23</v>
      </c>
      <c r="B91" s="540" t="s">
        <v>352</v>
      </c>
      <c r="C91" s="541"/>
      <c r="D91" s="541"/>
      <c r="E91" s="541"/>
      <c r="F91" s="542"/>
      <c r="G91" s="583">
        <v>0</v>
      </c>
      <c r="H91" s="584"/>
      <c r="I91" s="221"/>
      <c r="J91" s="225">
        <f>18.11*15</f>
        <v>271.64999999999998</v>
      </c>
    </row>
    <row r="92" spans="1:10" ht="16.5" thickTop="1" thickBot="1" x14ac:dyDescent="0.3">
      <c r="A92" s="585" t="s">
        <v>280</v>
      </c>
      <c r="B92" s="585"/>
      <c r="C92" s="585"/>
      <c r="D92" s="585"/>
      <c r="E92" s="585"/>
      <c r="F92" s="585"/>
      <c r="G92" s="193"/>
      <c r="H92" s="224"/>
      <c r="I92" s="221"/>
      <c r="J92" s="220">
        <f>SUM(J91:J91)</f>
        <v>271.64999999999998</v>
      </c>
    </row>
    <row r="93" spans="1:10" ht="16.5" thickTop="1" thickBot="1" x14ac:dyDescent="0.3">
      <c r="A93" s="585"/>
      <c r="B93" s="586"/>
      <c r="C93" s="586"/>
      <c r="D93" s="586"/>
      <c r="E93" s="586"/>
      <c r="F93" s="586"/>
      <c r="G93" s="586"/>
      <c r="H93" s="586"/>
      <c r="I93" s="586"/>
      <c r="J93" s="587"/>
    </row>
    <row r="94" spans="1:10" ht="16.5" thickTop="1" thickBot="1" x14ac:dyDescent="0.3">
      <c r="A94" s="621" t="s">
        <v>279</v>
      </c>
      <c r="B94" s="621"/>
      <c r="C94" s="621"/>
      <c r="D94" s="621"/>
      <c r="E94" s="621"/>
      <c r="F94" s="621"/>
      <c r="G94" s="621"/>
      <c r="H94" s="621"/>
      <c r="I94" s="621"/>
      <c r="J94" s="621"/>
    </row>
    <row r="95" spans="1:10" ht="16.5" thickTop="1" thickBot="1" x14ac:dyDescent="0.3">
      <c r="A95" s="565" t="s">
        <v>165</v>
      </c>
      <c r="B95" s="566"/>
      <c r="C95" s="566"/>
      <c r="D95" s="566"/>
      <c r="E95" s="566"/>
      <c r="F95" s="567"/>
      <c r="G95" s="588"/>
      <c r="H95" s="515"/>
      <c r="I95" s="515"/>
      <c r="J95" s="516"/>
    </row>
    <row r="96" spans="1:10" ht="16.5" thickTop="1" thickBot="1" x14ac:dyDescent="0.3">
      <c r="A96" s="199" t="s">
        <v>27</v>
      </c>
      <c r="B96" s="540" t="s">
        <v>166</v>
      </c>
      <c r="C96" s="541"/>
      <c r="D96" s="541"/>
      <c r="E96" s="541"/>
      <c r="F96" s="542"/>
      <c r="G96" s="573">
        <f>J88</f>
        <v>37.662331312000006</v>
      </c>
      <c r="H96" s="625"/>
      <c r="I96" s="625"/>
      <c r="J96" s="626"/>
    </row>
    <row r="97" spans="1:10" ht="16.5" thickTop="1" thickBot="1" x14ac:dyDescent="0.3">
      <c r="A97" s="193" t="s">
        <v>162</v>
      </c>
      <c r="B97" s="540" t="s">
        <v>167</v>
      </c>
      <c r="C97" s="541"/>
      <c r="D97" s="541"/>
      <c r="E97" s="541"/>
      <c r="F97" s="542"/>
      <c r="G97" s="573">
        <f>J92</f>
        <v>271.64999999999998</v>
      </c>
      <c r="H97" s="625"/>
      <c r="I97" s="625"/>
      <c r="J97" s="626"/>
    </row>
    <row r="98" spans="1:10" ht="16.5" thickTop="1" thickBot="1" x14ac:dyDescent="0.3">
      <c r="A98" s="514" t="s">
        <v>150</v>
      </c>
      <c r="B98" s="515"/>
      <c r="C98" s="515"/>
      <c r="D98" s="515"/>
      <c r="E98" s="515"/>
      <c r="F98" s="516"/>
      <c r="G98" s="576">
        <f>G96+G97</f>
        <v>309.31233131199997</v>
      </c>
      <c r="H98" s="577"/>
      <c r="I98" s="577"/>
      <c r="J98" s="578"/>
    </row>
    <row r="99" spans="1:10" ht="16.5" thickTop="1" thickBot="1" x14ac:dyDescent="0.3">
      <c r="A99" s="193"/>
      <c r="B99" s="223"/>
      <c r="C99" s="223"/>
      <c r="D99" s="223"/>
      <c r="E99" s="223"/>
      <c r="F99" s="223"/>
      <c r="G99" s="223"/>
      <c r="H99" s="222"/>
      <c r="I99" s="221"/>
      <c r="J99" s="220"/>
    </row>
    <row r="100" spans="1:10" ht="16.5" thickTop="1" thickBot="1" x14ac:dyDescent="0.3">
      <c r="A100" s="193"/>
      <c r="B100" s="223"/>
      <c r="C100" s="223"/>
      <c r="D100" s="223"/>
      <c r="E100" s="223"/>
      <c r="F100" s="223"/>
      <c r="G100" s="223"/>
      <c r="H100" s="222"/>
      <c r="I100" s="221"/>
      <c r="J100" s="220"/>
    </row>
    <row r="101" spans="1:10" ht="16.5" thickTop="1" thickBot="1" x14ac:dyDescent="0.3">
      <c r="A101" s="219">
        <v>5</v>
      </c>
      <c r="B101" s="218" t="s">
        <v>169</v>
      </c>
      <c r="C101" s="170"/>
      <c r="D101" s="170"/>
      <c r="E101" s="170"/>
      <c r="F101" s="170"/>
      <c r="G101" s="591" t="s">
        <v>264</v>
      </c>
      <c r="H101" s="591"/>
      <c r="I101" s="591"/>
      <c r="J101" s="546"/>
    </row>
    <row r="102" spans="1:10" ht="16.5" thickTop="1" thickBot="1" x14ac:dyDescent="0.3">
      <c r="A102" s="193" t="s">
        <v>23</v>
      </c>
      <c r="B102" s="217" t="s">
        <v>170</v>
      </c>
      <c r="C102" s="169"/>
      <c r="D102" s="169"/>
      <c r="E102" s="169"/>
      <c r="F102" s="216"/>
      <c r="G102" s="619">
        <f>'[1]INSUMOS 12hs '!F14</f>
        <v>61.833333333333336</v>
      </c>
      <c r="H102" s="619"/>
      <c r="I102" s="619"/>
      <c r="J102" s="619"/>
    </row>
    <row r="103" spans="1:10" ht="16.5" thickTop="1" thickBot="1" x14ac:dyDescent="0.3">
      <c r="A103" s="193" t="s">
        <v>30</v>
      </c>
      <c r="B103" s="217" t="s">
        <v>171</v>
      </c>
      <c r="C103" s="169"/>
      <c r="D103" s="169"/>
      <c r="E103" s="169"/>
      <c r="F103" s="216"/>
      <c r="G103" s="619"/>
      <c r="H103" s="619"/>
      <c r="I103" s="619"/>
      <c r="J103" s="619"/>
    </row>
    <row r="104" spans="1:10" ht="16.5" thickTop="1" thickBot="1" x14ac:dyDescent="0.3">
      <c r="A104" s="193" t="s">
        <v>30</v>
      </c>
      <c r="B104" s="624" t="s">
        <v>171</v>
      </c>
      <c r="C104" s="624"/>
      <c r="D104" s="624"/>
      <c r="E104" s="624"/>
      <c r="F104" s="624"/>
      <c r="G104" s="619">
        <f>'[1]INSUMOS 12hs '!F32</f>
        <v>63.694444444444443</v>
      </c>
      <c r="H104" s="619"/>
      <c r="I104" s="619"/>
      <c r="J104" s="619"/>
    </row>
    <row r="105" spans="1:10" ht="16.5" thickTop="1" thickBot="1" x14ac:dyDescent="0.3">
      <c r="A105" s="193" t="s">
        <v>32</v>
      </c>
      <c r="B105" s="191" t="s">
        <v>172</v>
      </c>
      <c r="C105" s="170"/>
      <c r="D105" s="170"/>
      <c r="E105" s="170"/>
      <c r="F105" s="170"/>
      <c r="G105" s="619">
        <f>'[1]INSUMOS 12hs '!F42</f>
        <v>17.537037037037038</v>
      </c>
      <c r="H105" s="619"/>
      <c r="I105" s="619"/>
      <c r="J105" s="619"/>
    </row>
    <row r="106" spans="1:10" ht="16.5" thickTop="1" thickBot="1" x14ac:dyDescent="0.3">
      <c r="A106" s="193"/>
      <c r="B106" s="510" t="s">
        <v>57</v>
      </c>
      <c r="C106" s="510"/>
      <c r="D106" s="510"/>
      <c r="E106" s="510"/>
      <c r="F106" s="510"/>
      <c r="G106" s="620">
        <f>SUM(G102:J105)</f>
        <v>143.06481481481481</v>
      </c>
      <c r="H106" s="620"/>
      <c r="I106" s="620"/>
      <c r="J106" s="620"/>
    </row>
    <row r="107" spans="1:10" ht="16.5" thickTop="1" thickBot="1" x14ac:dyDescent="0.3">
      <c r="A107" s="152"/>
      <c r="B107" s="180"/>
      <c r="C107" s="180"/>
      <c r="D107" s="180"/>
      <c r="E107" s="180"/>
      <c r="F107" s="180"/>
      <c r="G107" s="152"/>
      <c r="H107" s="152"/>
      <c r="I107" s="152"/>
      <c r="J107" s="215"/>
    </row>
    <row r="108" spans="1:10" ht="16.5" thickTop="1" thickBot="1" x14ac:dyDescent="0.3">
      <c r="A108" s="212" t="s">
        <v>175</v>
      </c>
      <c r="B108" s="169"/>
      <c r="C108" s="169"/>
      <c r="D108" s="169"/>
      <c r="E108" s="169"/>
      <c r="F108" s="169"/>
      <c r="G108" s="173"/>
      <c r="H108" s="173"/>
      <c r="I108" s="173"/>
      <c r="J108" s="211"/>
    </row>
    <row r="109" spans="1:10" ht="16.5" thickTop="1" thickBot="1" x14ac:dyDescent="0.3">
      <c r="A109" s="212" t="s">
        <v>278</v>
      </c>
      <c r="B109" s="214"/>
      <c r="C109" s="173"/>
      <c r="D109" s="173"/>
      <c r="E109" s="173"/>
      <c r="F109" s="213"/>
      <c r="G109" s="212"/>
      <c r="H109" s="173" t="s">
        <v>277</v>
      </c>
      <c r="I109" s="173"/>
      <c r="J109" s="211"/>
    </row>
    <row r="110" spans="1:10" ht="16.5" thickTop="1" thickBot="1" x14ac:dyDescent="0.3">
      <c r="A110" s="193" t="s">
        <v>23</v>
      </c>
      <c r="B110" s="191" t="s">
        <v>276</v>
      </c>
      <c r="C110" s="170"/>
      <c r="D110" s="170"/>
      <c r="E110" s="210"/>
      <c r="F110" s="209">
        <v>6.5975000000000006E-2</v>
      </c>
      <c r="G110" s="191"/>
      <c r="H110" s="208"/>
      <c r="I110" s="558">
        <f>F110*I130</f>
        <v>372.4535392221772</v>
      </c>
      <c r="J110" s="558"/>
    </row>
    <row r="111" spans="1:10" ht="16.5" thickTop="1" thickBot="1" x14ac:dyDescent="0.3">
      <c r="A111" s="199" t="s">
        <v>42</v>
      </c>
      <c r="B111" s="196" t="s">
        <v>275</v>
      </c>
      <c r="C111" s="176"/>
      <c r="D111" s="176"/>
      <c r="E111" s="176"/>
      <c r="F111" s="207"/>
      <c r="G111" s="170"/>
      <c r="H111" s="206"/>
      <c r="I111" s="558"/>
      <c r="J111" s="558"/>
    </row>
    <row r="112" spans="1:10" ht="15.75" thickTop="1" x14ac:dyDescent="0.25">
      <c r="A112" s="189"/>
      <c r="B112" s="186" t="s">
        <v>274</v>
      </c>
      <c r="C112" s="188"/>
      <c r="D112" s="188"/>
      <c r="E112" s="188"/>
      <c r="F112" s="187"/>
      <c r="G112" s="186"/>
      <c r="H112" s="200"/>
      <c r="I112" s="205"/>
      <c r="J112" s="204"/>
    </row>
    <row r="113" spans="1:10" x14ac:dyDescent="0.25">
      <c r="A113" s="203"/>
      <c r="B113" s="201" t="s">
        <v>273</v>
      </c>
      <c r="C113" s="184"/>
      <c r="D113" s="184"/>
      <c r="E113" s="184"/>
      <c r="F113" s="289">
        <v>0.03</v>
      </c>
      <c r="G113" s="201"/>
      <c r="H113" s="200"/>
      <c r="I113" s="572">
        <f>F113*I133</f>
        <v>210.66842504556163</v>
      </c>
      <c r="J113" s="572"/>
    </row>
    <row r="114" spans="1:10" x14ac:dyDescent="0.25">
      <c r="A114" s="203"/>
      <c r="B114" s="201" t="s">
        <v>272</v>
      </c>
      <c r="C114" s="184"/>
      <c r="D114" s="184"/>
      <c r="E114" s="184"/>
      <c r="F114" s="289">
        <v>6.4999999999999997E-3</v>
      </c>
      <c r="G114" s="201"/>
      <c r="H114" s="200"/>
      <c r="I114" s="572">
        <f>F114*I133</f>
        <v>45.644825426538354</v>
      </c>
      <c r="J114" s="572"/>
    </row>
    <row r="115" spans="1:10" ht="15.75" thickBot="1" x14ac:dyDescent="0.3">
      <c r="A115" s="199"/>
      <c r="B115" s="198" t="s">
        <v>271</v>
      </c>
      <c r="C115" s="176"/>
      <c r="D115" s="176"/>
      <c r="E115" s="176"/>
      <c r="F115" s="288"/>
      <c r="G115" s="196"/>
      <c r="H115" s="190"/>
      <c r="I115" s="195"/>
      <c r="J115" s="194"/>
    </row>
    <row r="116" spans="1:10" ht="16.5" thickTop="1" thickBot="1" x14ac:dyDescent="0.3">
      <c r="A116" s="193"/>
      <c r="B116" s="191" t="s">
        <v>270</v>
      </c>
      <c r="C116" s="170"/>
      <c r="D116" s="170"/>
      <c r="E116" s="170"/>
      <c r="F116" s="209"/>
      <c r="G116" s="191"/>
      <c r="H116" s="558"/>
      <c r="I116" s="558"/>
      <c r="J116" s="558"/>
    </row>
    <row r="117" spans="1:10" ht="16.5" thickTop="1" thickBot="1" x14ac:dyDescent="0.3">
      <c r="A117" s="193"/>
      <c r="B117" s="191" t="s">
        <v>269</v>
      </c>
      <c r="C117" s="170"/>
      <c r="D117" s="170"/>
      <c r="E117" s="170"/>
      <c r="F117" s="209"/>
      <c r="G117" s="191"/>
      <c r="H117" s="558"/>
      <c r="I117" s="558"/>
      <c r="J117" s="558"/>
    </row>
    <row r="118" spans="1:10" ht="15.75" thickTop="1" x14ac:dyDescent="0.25">
      <c r="A118" s="189"/>
      <c r="B118" s="186" t="s">
        <v>268</v>
      </c>
      <c r="C118" s="188"/>
      <c r="D118" s="188"/>
      <c r="E118" s="188"/>
      <c r="F118" s="187">
        <v>0.05</v>
      </c>
      <c r="G118" s="186"/>
      <c r="H118" s="200"/>
      <c r="I118" s="593">
        <f>F118*I133</f>
        <v>351.11404174260275</v>
      </c>
      <c r="J118" s="593"/>
    </row>
    <row r="119" spans="1:10" x14ac:dyDescent="0.25">
      <c r="A119" s="150" t="s">
        <v>32</v>
      </c>
      <c r="B119" s="146" t="s">
        <v>267</v>
      </c>
      <c r="C119" s="146"/>
      <c r="D119" s="146"/>
      <c r="E119" s="146"/>
      <c r="F119" s="287">
        <f>F110</f>
        <v>6.5975000000000006E-2</v>
      </c>
      <c r="G119" s="146"/>
      <c r="H119" s="630">
        <f>F119*(I125+I126+I127+I128+I129+I110)</f>
        <v>397.02616147236034</v>
      </c>
      <c r="I119" s="630"/>
      <c r="J119" s="630"/>
    </row>
    <row r="120" spans="1:10" s="181" customFormat="1" x14ac:dyDescent="0.25">
      <c r="A120" s="146"/>
      <c r="B120" s="146"/>
      <c r="C120" s="147" t="s">
        <v>266</v>
      </c>
      <c r="D120" s="147"/>
      <c r="E120" s="147"/>
      <c r="F120" s="70">
        <f>SUM(F110:F119)</f>
        <v>0.21845000000000003</v>
      </c>
      <c r="G120" s="147"/>
      <c r="H120" s="594">
        <f>I110+I113+I114+I118+H119</f>
        <v>1376.9069929092402</v>
      </c>
      <c r="I120" s="594"/>
      <c r="J120" s="594"/>
    </row>
    <row r="121" spans="1:10" s="181" customFormat="1" x14ac:dyDescent="0.25">
      <c r="A121" s="184"/>
      <c r="B121" s="184"/>
      <c r="C121" s="151"/>
      <c r="D121" s="151"/>
      <c r="E121" s="151"/>
      <c r="F121" s="183"/>
      <c r="G121" s="151"/>
      <c r="H121" s="182"/>
      <c r="I121" s="182"/>
      <c r="J121" s="182"/>
    </row>
    <row r="122" spans="1:10" s="181" customFormat="1" ht="10.9" customHeight="1" x14ac:dyDescent="0.25">
      <c r="A122" s="184"/>
      <c r="B122" s="184"/>
      <c r="C122" s="151"/>
      <c r="D122" s="151"/>
      <c r="E122" s="151"/>
      <c r="F122" s="183"/>
      <c r="G122" s="151"/>
      <c r="H122" s="182"/>
      <c r="I122" s="182"/>
      <c r="J122" s="182"/>
    </row>
    <row r="123" spans="1:10" ht="22.9" customHeight="1" x14ac:dyDescent="0.25">
      <c r="A123" s="184"/>
      <c r="B123" s="184"/>
      <c r="C123" s="151"/>
      <c r="D123" s="151"/>
      <c r="E123" s="151"/>
      <c r="F123" s="183"/>
      <c r="G123" s="151"/>
      <c r="H123" s="182"/>
      <c r="I123" s="182"/>
      <c r="J123" s="182"/>
    </row>
    <row r="124" spans="1:10" ht="15.75" thickBot="1" x14ac:dyDescent="0.3">
      <c r="A124" s="198" t="s">
        <v>265</v>
      </c>
      <c r="B124" s="175"/>
      <c r="C124" s="175"/>
      <c r="D124" s="175"/>
      <c r="E124" s="175"/>
      <c r="F124" s="175"/>
      <c r="G124" s="175"/>
      <c r="H124" s="175"/>
      <c r="I124" s="286"/>
      <c r="J124" s="285" t="s">
        <v>264</v>
      </c>
    </row>
    <row r="125" spans="1:10" ht="16.5" thickTop="1" thickBot="1" x14ac:dyDescent="0.3">
      <c r="A125" s="171" t="s">
        <v>23</v>
      </c>
      <c r="B125" s="169" t="s">
        <v>263</v>
      </c>
      <c r="C125" s="170"/>
      <c r="D125" s="170"/>
      <c r="E125" s="170"/>
      <c r="F125" s="170"/>
      <c r="G125" s="169"/>
      <c r="H125" s="168"/>
      <c r="I125" s="556">
        <f>J35</f>
        <v>2726.09</v>
      </c>
      <c r="J125" s="558"/>
    </row>
    <row r="126" spans="1:10" ht="16.5" thickTop="1" thickBot="1" x14ac:dyDescent="0.3">
      <c r="A126" s="171" t="s">
        <v>30</v>
      </c>
      <c r="B126" s="169" t="s">
        <v>262</v>
      </c>
      <c r="C126" s="170"/>
      <c r="D126" s="170"/>
      <c r="E126" s="170"/>
      <c r="F126" s="170"/>
      <c r="G126" s="169"/>
      <c r="H126" s="168"/>
      <c r="I126" s="556">
        <f>G70</f>
        <v>2329.3258958160004</v>
      </c>
      <c r="J126" s="558"/>
    </row>
    <row r="127" spans="1:10" ht="16.5" thickTop="1" thickBot="1" x14ac:dyDescent="0.3">
      <c r="A127" s="171" t="s">
        <v>32</v>
      </c>
      <c r="B127" s="169" t="s">
        <v>261</v>
      </c>
      <c r="C127" s="170"/>
      <c r="D127" s="170"/>
      <c r="E127" s="170"/>
      <c r="F127" s="170"/>
      <c r="G127" s="169"/>
      <c r="H127" s="168"/>
      <c r="I127" s="556">
        <f>J78</f>
        <v>137.58080000000001</v>
      </c>
      <c r="J127" s="558"/>
    </row>
    <row r="128" spans="1:10" ht="16.5" thickTop="1" thickBot="1" x14ac:dyDescent="0.3">
      <c r="A128" s="171" t="s">
        <v>25</v>
      </c>
      <c r="B128" s="169" t="s">
        <v>260</v>
      </c>
      <c r="C128" s="170"/>
      <c r="D128" s="170"/>
      <c r="E128" s="170"/>
      <c r="F128" s="170"/>
      <c r="G128" s="169"/>
      <c r="H128" s="168"/>
      <c r="I128" s="556">
        <f>G98</f>
        <v>309.31233131199997</v>
      </c>
      <c r="J128" s="558"/>
    </row>
    <row r="129" spans="1:10" ht="16.5" thickTop="1" thickBot="1" x14ac:dyDescent="0.3">
      <c r="A129" s="171" t="s">
        <v>20</v>
      </c>
      <c r="B129" s="169" t="s">
        <v>259</v>
      </c>
      <c r="C129" s="170"/>
      <c r="D129" s="170"/>
      <c r="E129" s="170"/>
      <c r="F129" s="170"/>
      <c r="G129" s="169"/>
      <c r="H129" s="168"/>
      <c r="I129" s="556">
        <f>G106</f>
        <v>143.06481481481481</v>
      </c>
      <c r="J129" s="558"/>
    </row>
    <row r="130" spans="1:10" ht="16.5" thickTop="1" thickBot="1" x14ac:dyDescent="0.3">
      <c r="A130" s="510" t="s">
        <v>189</v>
      </c>
      <c r="B130" s="510"/>
      <c r="C130" s="510"/>
      <c r="D130" s="510"/>
      <c r="E130" s="510"/>
      <c r="F130" s="510"/>
      <c r="G130" s="173"/>
      <c r="H130" s="172"/>
      <c r="I130" s="559">
        <f>(I125+I126+I127+I128+I129)</f>
        <v>5645.3738419428146</v>
      </c>
      <c r="J130" s="561"/>
    </row>
    <row r="131" spans="1:10" ht="16.5" thickTop="1" thickBot="1" x14ac:dyDescent="0.3">
      <c r="A131" s="171" t="s">
        <v>37</v>
      </c>
      <c r="B131" s="169" t="s">
        <v>190</v>
      </c>
      <c r="C131" s="170"/>
      <c r="D131" s="170"/>
      <c r="E131" s="170"/>
      <c r="F131" s="170"/>
      <c r="G131" s="169"/>
      <c r="H131" s="168"/>
      <c r="I131" s="556">
        <f>H120</f>
        <v>1376.9069929092402</v>
      </c>
      <c r="J131" s="558"/>
    </row>
    <row r="132" spans="1:10" ht="16.5" thickTop="1" thickBot="1" x14ac:dyDescent="0.3">
      <c r="A132" s="167"/>
      <c r="B132" s="167"/>
      <c r="C132" s="167"/>
      <c r="D132" s="167"/>
      <c r="E132" s="167"/>
      <c r="F132" s="167"/>
      <c r="G132" s="167"/>
      <c r="H132" s="167"/>
      <c r="I132" s="167"/>
      <c r="J132" s="167"/>
    </row>
    <row r="133" spans="1:10" ht="16.5" thickTop="1" thickBot="1" x14ac:dyDescent="0.3">
      <c r="A133" s="514" t="s">
        <v>191</v>
      </c>
      <c r="B133" s="515"/>
      <c r="C133" s="515"/>
      <c r="D133" s="515"/>
      <c r="E133" s="515"/>
      <c r="F133" s="515"/>
      <c r="G133" s="515"/>
      <c r="H133" s="516"/>
      <c r="I133" s="628">
        <f>(I130+H119+I110)/0.9135</f>
        <v>7022.2808348520548</v>
      </c>
      <c r="J133" s="629"/>
    </row>
    <row r="134" spans="1:10" ht="16.5" thickTop="1" thickBot="1" x14ac:dyDescent="0.3">
      <c r="A134" s="514" t="s">
        <v>258</v>
      </c>
      <c r="B134" s="515"/>
      <c r="C134" s="515"/>
      <c r="D134" s="515"/>
      <c r="E134" s="515"/>
      <c r="F134" s="515"/>
      <c r="G134" s="515"/>
      <c r="H134" s="516"/>
      <c r="J134" s="166">
        <f>I133*2</f>
        <v>14044.56166970411</v>
      </c>
    </row>
    <row r="135" spans="1:10" ht="15.75" thickTop="1" x14ac:dyDescent="0.25"/>
  </sheetData>
  <mergeCells count="118">
    <mergeCell ref="A1:J1"/>
    <mergeCell ref="A134:H134"/>
    <mergeCell ref="I128:J128"/>
    <mergeCell ref="I129:J129"/>
    <mergeCell ref="A130:F130"/>
    <mergeCell ref="I130:J130"/>
    <mergeCell ref="I131:J131"/>
    <mergeCell ref="A133:H133"/>
    <mergeCell ref="I133:J133"/>
    <mergeCell ref="I118:J118"/>
    <mergeCell ref="H119:J119"/>
    <mergeCell ref="H120:J120"/>
    <mergeCell ref="I125:J125"/>
    <mergeCell ref="I126:J126"/>
    <mergeCell ref="I127:J127"/>
    <mergeCell ref="I110:J110"/>
    <mergeCell ref="I111:J111"/>
    <mergeCell ref="I113:J113"/>
    <mergeCell ref="I114:J114"/>
    <mergeCell ref="H116:J116"/>
    <mergeCell ref="A98:F98"/>
    <mergeCell ref="G98:J98"/>
    <mergeCell ref="G101:J101"/>
    <mergeCell ref="G102:J102"/>
    <mergeCell ref="H117:J117"/>
    <mergeCell ref="G103:J103"/>
    <mergeCell ref="B104:F104"/>
    <mergeCell ref="G104:J104"/>
    <mergeCell ref="G105:J105"/>
    <mergeCell ref="B106:F106"/>
    <mergeCell ref="G106:J106"/>
    <mergeCell ref="A92:F92"/>
    <mergeCell ref="A93:J93"/>
    <mergeCell ref="A94:J94"/>
    <mergeCell ref="A95:F95"/>
    <mergeCell ref="G95:J95"/>
    <mergeCell ref="B96:F96"/>
    <mergeCell ref="G96:J96"/>
    <mergeCell ref="B97:F97"/>
    <mergeCell ref="G97:J97"/>
    <mergeCell ref="G72:H72"/>
    <mergeCell ref="G73:H73"/>
    <mergeCell ref="G74:H74"/>
    <mergeCell ref="G75:H75"/>
    <mergeCell ref="G76:H76"/>
    <mergeCell ref="G77:H77"/>
    <mergeCell ref="A78:F78"/>
    <mergeCell ref="B91:F91"/>
    <mergeCell ref="G91:H91"/>
    <mergeCell ref="A65:J65"/>
    <mergeCell ref="A66:F66"/>
    <mergeCell ref="G66:J66"/>
    <mergeCell ref="G67:J67"/>
    <mergeCell ref="B68:F68"/>
    <mergeCell ref="G68:J68"/>
    <mergeCell ref="B69:F69"/>
    <mergeCell ref="G69:J69"/>
    <mergeCell ref="A70:F70"/>
    <mergeCell ref="G70:J70"/>
    <mergeCell ref="A55:J55"/>
    <mergeCell ref="A56:F56"/>
    <mergeCell ref="G56:J56"/>
    <mergeCell ref="G57:J57"/>
    <mergeCell ref="G58:J58"/>
    <mergeCell ref="G59:J59"/>
    <mergeCell ref="G60:J60"/>
    <mergeCell ref="G61:J61"/>
    <mergeCell ref="B63:F63"/>
    <mergeCell ref="G63:J63"/>
    <mergeCell ref="B62:F62"/>
    <mergeCell ref="G62:J62"/>
    <mergeCell ref="B40:F40"/>
    <mergeCell ref="G40:H40"/>
    <mergeCell ref="I40:J40"/>
    <mergeCell ref="A41:F41"/>
    <mergeCell ref="G41:H41"/>
    <mergeCell ref="B44:F44"/>
    <mergeCell ref="G44:H44"/>
    <mergeCell ref="B52:F52"/>
    <mergeCell ref="A53:F53"/>
    <mergeCell ref="G30:I30"/>
    <mergeCell ref="G31:I31"/>
    <mergeCell ref="G32:I32"/>
    <mergeCell ref="G33:I33"/>
    <mergeCell ref="G34:I34"/>
    <mergeCell ref="B35:F35"/>
    <mergeCell ref="G35:I35"/>
    <mergeCell ref="B38:F38"/>
    <mergeCell ref="G39:H39"/>
    <mergeCell ref="I39:J39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A2:J3"/>
    <mergeCell ref="A4:E4"/>
    <mergeCell ref="A5:J5"/>
    <mergeCell ref="A6:J6"/>
    <mergeCell ref="G7:J7"/>
    <mergeCell ref="G8:J8"/>
    <mergeCell ref="A19:E20"/>
    <mergeCell ref="F19:F20"/>
    <mergeCell ref="G19:J19"/>
    <mergeCell ref="G20:I20"/>
    <mergeCell ref="G9:J9"/>
    <mergeCell ref="G10:J10"/>
    <mergeCell ref="A11:J11"/>
    <mergeCell ref="A12:J12"/>
    <mergeCell ref="G13:J13"/>
    <mergeCell ref="G14:J14"/>
    <mergeCell ref="G15:J15"/>
    <mergeCell ref="G16:J16"/>
    <mergeCell ref="A18:J18"/>
  </mergeCells>
  <pageMargins left="0.511811024" right="0.511811024" top="0.7466666666666667" bottom="0.48" header="0.31496062000000002" footer="0.31496062000000002"/>
  <pageSetup paperSize="9" scale="75" fitToHeight="0" orientation="portrait" r:id="rId1"/>
  <rowBreaks count="2" manualBreakCount="2">
    <brk id="64" max="9" man="1"/>
    <brk id="93" max="9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3"/>
  <sheetViews>
    <sheetView view="pageBreakPreview" topLeftCell="A10" zoomScale="90" zoomScaleNormal="115" zoomScaleSheetLayoutView="90" workbookViewId="0">
      <selection activeCell="L18" sqref="L18"/>
    </sheetView>
  </sheetViews>
  <sheetFormatPr defaultRowHeight="15" x14ac:dyDescent="0.25"/>
  <cols>
    <col min="1" max="1" width="6.140625" style="1" customWidth="1"/>
    <col min="2" max="9" width="6.85546875" customWidth="1"/>
    <col min="10" max="10" width="17.42578125" bestFit="1" customWidth="1"/>
    <col min="11" max="11" width="36.28515625" style="20" bestFit="1" customWidth="1"/>
    <col min="12" max="12" width="40.5703125" style="20" customWidth="1"/>
    <col min="13" max="14" width="33" style="20" customWidth="1"/>
  </cols>
  <sheetData>
    <row r="1" spans="1:14" ht="39" customHeight="1" x14ac:dyDescent="0.25">
      <c r="B1" s="631" t="s">
        <v>0</v>
      </c>
      <c r="C1" s="632"/>
      <c r="D1" s="632"/>
      <c r="E1" s="632"/>
      <c r="F1" s="632"/>
      <c r="G1" s="632"/>
      <c r="H1" s="632"/>
      <c r="I1" s="632"/>
      <c r="J1" s="632"/>
      <c r="K1" s="632"/>
      <c r="L1" s="632"/>
      <c r="M1" s="632"/>
      <c r="N1" s="632"/>
    </row>
    <row r="2" spans="1:14" ht="86.45" customHeight="1" x14ac:dyDescent="0.25">
      <c r="A2" s="2" t="s">
        <v>1</v>
      </c>
      <c r="B2" s="454" t="s">
        <v>2</v>
      </c>
      <c r="C2" s="454"/>
      <c r="D2" s="454"/>
      <c r="E2" s="454"/>
      <c r="F2" s="454"/>
      <c r="G2" s="454"/>
      <c r="H2" s="454"/>
      <c r="I2" s="454"/>
      <c r="J2" s="3" t="s">
        <v>3</v>
      </c>
      <c r="K2" s="4" t="s">
        <v>249</v>
      </c>
      <c r="L2" s="4" t="s">
        <v>252</v>
      </c>
      <c r="M2" s="143" t="s">
        <v>253</v>
      </c>
      <c r="N2" s="4" t="s">
        <v>255</v>
      </c>
    </row>
    <row r="3" spans="1:14" ht="24" hidden="1" customHeight="1" x14ac:dyDescent="0.25">
      <c r="A3" s="5" t="s">
        <v>4</v>
      </c>
      <c r="B3" s="454" t="s">
        <v>5</v>
      </c>
      <c r="C3" s="454"/>
      <c r="D3" s="454"/>
      <c r="E3" s="454"/>
      <c r="F3" s="454"/>
      <c r="G3" s="454"/>
      <c r="H3" s="454"/>
      <c r="I3" s="454"/>
      <c r="J3" s="6" t="s">
        <v>6</v>
      </c>
      <c r="K3" s="7" t="s">
        <v>7</v>
      </c>
      <c r="L3" s="7" t="s">
        <v>8</v>
      </c>
      <c r="M3" s="7" t="s">
        <v>9</v>
      </c>
      <c r="N3" s="7" t="s">
        <v>10</v>
      </c>
    </row>
    <row r="4" spans="1:14" x14ac:dyDescent="0.25">
      <c r="A4" s="5" t="s">
        <v>13</v>
      </c>
      <c r="B4" s="454" t="s">
        <v>14</v>
      </c>
      <c r="C4" s="454"/>
      <c r="D4" s="454"/>
      <c r="E4" s="454"/>
      <c r="F4" s="454"/>
      <c r="G4" s="454"/>
      <c r="H4" s="454"/>
      <c r="I4" s="454"/>
      <c r="J4" s="7" t="s">
        <v>15</v>
      </c>
      <c r="K4" s="11" t="s">
        <v>16</v>
      </c>
      <c r="L4" s="11" t="s">
        <v>17</v>
      </c>
      <c r="M4" s="11" t="s">
        <v>18</v>
      </c>
      <c r="N4" s="11" t="s">
        <v>19</v>
      </c>
    </row>
    <row r="5" spans="1:14" ht="18" customHeight="1" x14ac:dyDescent="0.25">
      <c r="A5" s="8" t="s">
        <v>20</v>
      </c>
      <c r="B5" s="448" t="s">
        <v>21</v>
      </c>
      <c r="C5" s="448"/>
      <c r="D5" s="448"/>
      <c r="E5" s="448"/>
      <c r="F5" s="448"/>
      <c r="G5" s="448"/>
      <c r="H5" s="448"/>
      <c r="I5" s="448"/>
      <c r="J5" s="12">
        <f>AVERAGE(K5:N5)</f>
        <v>14.3325</v>
      </c>
      <c r="K5" s="13">
        <v>13.22</v>
      </c>
      <c r="L5" s="13">
        <v>17</v>
      </c>
      <c r="M5" s="13">
        <v>13.22</v>
      </c>
      <c r="N5" s="13">
        <v>13.89</v>
      </c>
    </row>
    <row r="6" spans="1:14" ht="18" customHeight="1" x14ac:dyDescent="0.25">
      <c r="A6" s="5">
        <v>3</v>
      </c>
      <c r="B6" s="454" t="s">
        <v>22</v>
      </c>
      <c r="C6" s="454"/>
      <c r="D6" s="454"/>
      <c r="E6" s="454"/>
      <c r="F6" s="454"/>
      <c r="G6" s="454"/>
      <c r="H6" s="454"/>
      <c r="I6" s="454"/>
      <c r="J6" s="7" t="s">
        <v>15</v>
      </c>
      <c r="K6" s="11"/>
      <c r="L6" s="11" t="s">
        <v>17</v>
      </c>
      <c r="M6" s="11" t="s">
        <v>18</v>
      </c>
      <c r="N6" s="11" t="s">
        <v>19</v>
      </c>
    </row>
    <row r="7" spans="1:14" ht="20.25" customHeight="1" x14ac:dyDescent="0.25">
      <c r="A7" s="8" t="s">
        <v>23</v>
      </c>
      <c r="B7" s="455" t="s">
        <v>24</v>
      </c>
      <c r="C7" s="455"/>
      <c r="D7" s="455"/>
      <c r="E7" s="455"/>
      <c r="F7" s="455"/>
      <c r="G7" s="455"/>
      <c r="H7" s="455"/>
      <c r="I7" s="455"/>
      <c r="J7" s="12">
        <f>AVERAGE(K7:N7)</f>
        <v>11.189999999999998</v>
      </c>
      <c r="K7" s="13">
        <v>9.5399999999999991</v>
      </c>
      <c r="L7" s="142">
        <v>17.63</v>
      </c>
      <c r="M7" s="13">
        <v>9.5399999999999991</v>
      </c>
      <c r="N7" s="13">
        <v>8.0500000000000007</v>
      </c>
    </row>
    <row r="8" spans="1:14" ht="16.5" customHeight="1" x14ac:dyDescent="0.25">
      <c r="A8" s="8" t="s">
        <v>25</v>
      </c>
      <c r="B8" s="455" t="s">
        <v>26</v>
      </c>
      <c r="C8" s="455"/>
      <c r="D8" s="455"/>
      <c r="E8" s="455"/>
      <c r="F8" s="455"/>
      <c r="G8" s="455"/>
      <c r="H8" s="455"/>
      <c r="I8" s="455"/>
      <c r="J8" s="12">
        <f>AVERAGE(K8:N8)</f>
        <v>46.509999999999991</v>
      </c>
      <c r="K8" s="13">
        <v>37.26</v>
      </c>
      <c r="L8" s="142">
        <v>74.349999999999994</v>
      </c>
      <c r="M8" s="13">
        <v>37.26</v>
      </c>
      <c r="N8" s="13">
        <v>37.17</v>
      </c>
    </row>
    <row r="9" spans="1:14" x14ac:dyDescent="0.25">
      <c r="A9" s="5" t="s">
        <v>27</v>
      </c>
      <c r="B9" s="491" t="s">
        <v>28</v>
      </c>
      <c r="C9" s="491"/>
      <c r="D9" s="491"/>
      <c r="E9" s="491"/>
      <c r="F9" s="491"/>
      <c r="G9" s="491"/>
      <c r="H9" s="491"/>
      <c r="I9" s="491"/>
      <c r="J9" s="7" t="s">
        <v>15</v>
      </c>
      <c r="K9" s="11" t="s">
        <v>16</v>
      </c>
      <c r="L9" s="11" t="s">
        <v>17</v>
      </c>
      <c r="M9" s="11" t="s">
        <v>18</v>
      </c>
      <c r="N9" s="11" t="s">
        <v>19</v>
      </c>
    </row>
    <row r="10" spans="1:14" ht="15" customHeight="1" x14ac:dyDescent="0.25">
      <c r="A10" s="8" t="s">
        <v>30</v>
      </c>
      <c r="B10" s="455" t="s">
        <v>31</v>
      </c>
      <c r="C10" s="455"/>
      <c r="D10" s="455"/>
      <c r="E10" s="455"/>
      <c r="F10" s="455"/>
      <c r="G10" s="455"/>
      <c r="H10" s="455"/>
      <c r="I10" s="455"/>
      <c r="J10" s="12">
        <f>AVERAGE(K10:N10)</f>
        <v>10.8025</v>
      </c>
      <c r="K10" s="13">
        <v>8.42</v>
      </c>
      <c r="L10" s="141">
        <v>21</v>
      </c>
      <c r="M10" s="13">
        <v>8.42</v>
      </c>
      <c r="N10" s="13">
        <v>5.37</v>
      </c>
    </row>
    <row r="11" spans="1:14" x14ac:dyDescent="0.25">
      <c r="A11" s="8" t="s">
        <v>32</v>
      </c>
      <c r="B11" s="448" t="s">
        <v>33</v>
      </c>
      <c r="C11" s="448"/>
      <c r="D11" s="448"/>
      <c r="E11" s="448"/>
      <c r="F11" s="448"/>
      <c r="G11" s="448"/>
      <c r="H11" s="448"/>
      <c r="I11" s="448"/>
      <c r="J11" s="12">
        <f>AVERAGE(K11:N11)</f>
        <v>0.60249999999999992</v>
      </c>
      <c r="K11" s="13">
        <v>0.63</v>
      </c>
      <c r="L11" s="141">
        <v>0.77</v>
      </c>
      <c r="M11" s="13">
        <v>0.63</v>
      </c>
      <c r="N11" s="13">
        <v>0.38</v>
      </c>
    </row>
    <row r="12" spans="1:14" x14ac:dyDescent="0.25">
      <c r="A12" s="8" t="s">
        <v>25</v>
      </c>
      <c r="B12" s="448" t="s">
        <v>34</v>
      </c>
      <c r="C12" s="448"/>
      <c r="D12" s="448"/>
      <c r="E12" s="448"/>
      <c r="F12" s="448"/>
      <c r="G12" s="448"/>
      <c r="H12" s="448"/>
      <c r="I12" s="448"/>
      <c r="J12" s="12">
        <f>AVERAGE(K12:N12)</f>
        <v>4.07</v>
      </c>
      <c r="K12" s="13">
        <v>0.99</v>
      </c>
      <c r="L12" s="141">
        <v>7.98</v>
      </c>
      <c r="M12" s="13">
        <v>0.99</v>
      </c>
      <c r="N12" s="13">
        <v>6.32</v>
      </c>
    </row>
    <row r="13" spans="1:14" x14ac:dyDescent="0.25">
      <c r="A13" s="8" t="s">
        <v>20</v>
      </c>
      <c r="B13" s="448" t="s">
        <v>35</v>
      </c>
      <c r="C13" s="448"/>
      <c r="D13" s="448"/>
      <c r="E13" s="448"/>
      <c r="F13" s="448"/>
      <c r="G13" s="448"/>
      <c r="H13" s="448"/>
      <c r="I13" s="448"/>
      <c r="J13" s="12">
        <f>AVERAGE(K13:N13)</f>
        <v>4.5825000000000005</v>
      </c>
      <c r="K13" s="140">
        <v>7.44</v>
      </c>
      <c r="L13" s="141">
        <v>2.11</v>
      </c>
      <c r="M13" s="14">
        <v>7.44</v>
      </c>
      <c r="N13" s="14">
        <v>1.34</v>
      </c>
    </row>
    <row r="14" spans="1:14" x14ac:dyDescent="0.25">
      <c r="A14" s="8" t="s">
        <v>37</v>
      </c>
      <c r="B14" s="448" t="s">
        <v>38</v>
      </c>
      <c r="C14" s="448"/>
      <c r="D14" s="448"/>
      <c r="E14" s="448"/>
      <c r="F14" s="448"/>
      <c r="G14" s="448"/>
      <c r="H14" s="448"/>
      <c r="I14" s="448"/>
      <c r="J14" s="12">
        <f>AVERAGE(K14:N14)</f>
        <v>25.26</v>
      </c>
      <c r="K14" s="140">
        <v>25.26</v>
      </c>
      <c r="L14" s="141"/>
      <c r="M14" s="14">
        <v>25.26</v>
      </c>
      <c r="N14" s="14"/>
    </row>
    <row r="15" spans="1:14" s="15" customFormat="1" x14ac:dyDescent="0.25">
      <c r="A15" s="5">
        <v>6</v>
      </c>
      <c r="B15" s="633" t="s">
        <v>39</v>
      </c>
      <c r="C15" s="633"/>
      <c r="D15" s="633"/>
      <c r="E15" s="633"/>
      <c r="F15" s="633"/>
      <c r="G15" s="633"/>
      <c r="H15" s="633"/>
      <c r="I15" s="633"/>
      <c r="J15" s="7" t="s">
        <v>40</v>
      </c>
      <c r="K15" s="7" t="s">
        <v>7</v>
      </c>
      <c r="L15" s="7" t="s">
        <v>8</v>
      </c>
      <c r="M15" s="7" t="s">
        <v>9</v>
      </c>
      <c r="N15" s="7" t="s">
        <v>10</v>
      </c>
    </row>
    <row r="16" spans="1:14" x14ac:dyDescent="0.25">
      <c r="A16" s="8" t="s">
        <v>23</v>
      </c>
      <c r="B16" s="448" t="s">
        <v>41</v>
      </c>
      <c r="C16" s="448"/>
      <c r="D16" s="448"/>
      <c r="E16" s="448"/>
      <c r="F16" s="448"/>
      <c r="G16" s="448"/>
      <c r="H16" s="448"/>
      <c r="I16" s="448"/>
      <c r="J16" s="10">
        <f>AVERAGE(K16:N16)</f>
        <v>1.8974999999999999E-2</v>
      </c>
      <c r="K16" s="16">
        <v>1.21E-2</v>
      </c>
      <c r="L16" s="16">
        <v>2E-3</v>
      </c>
      <c r="M16" s="16">
        <v>1.8E-3</v>
      </c>
      <c r="N16" s="16">
        <v>0.06</v>
      </c>
    </row>
    <row r="17" spans="1:14" s="158" customFormat="1" ht="12" x14ac:dyDescent="0.2">
      <c r="A17" s="155" t="s">
        <v>42</v>
      </c>
      <c r="B17" s="634" t="s">
        <v>43</v>
      </c>
      <c r="C17" s="634"/>
      <c r="D17" s="634"/>
      <c r="E17" s="634"/>
      <c r="F17" s="634"/>
      <c r="G17" s="634"/>
      <c r="H17" s="634"/>
      <c r="I17" s="634"/>
      <c r="J17" s="156">
        <f>AVERAGE(K17:N17)</f>
        <v>1.805E-2</v>
      </c>
      <c r="K17" s="157">
        <v>0.01</v>
      </c>
      <c r="L17" s="157">
        <v>2.0000000000000001E-4</v>
      </c>
      <c r="M17" s="157">
        <v>2E-3</v>
      </c>
      <c r="N17" s="157">
        <v>0.06</v>
      </c>
    </row>
    <row r="18" spans="1:14" x14ac:dyDescent="0.25">
      <c r="B18" s="17"/>
      <c r="C18" s="17"/>
      <c r="D18" s="17"/>
      <c r="E18" s="17"/>
      <c r="F18" s="17"/>
      <c r="G18" s="17"/>
      <c r="H18" s="17"/>
      <c r="I18" s="17"/>
      <c r="J18" s="17"/>
      <c r="K18" s="18"/>
      <c r="L18" s="18"/>
      <c r="M18" s="18"/>
      <c r="N18" s="18"/>
    </row>
    <row r="19" spans="1:14" ht="24.75" customHeight="1" x14ac:dyDescent="0.25">
      <c r="B19" s="635" t="s">
        <v>44</v>
      </c>
      <c r="C19" s="636"/>
      <c r="D19" s="636"/>
      <c r="E19" s="636"/>
      <c r="F19" s="636"/>
      <c r="G19" s="636"/>
      <c r="H19" s="636"/>
      <c r="I19" s="636"/>
      <c r="J19" s="636"/>
      <c r="K19" s="636"/>
      <c r="L19" s="636"/>
      <c r="M19" s="636"/>
      <c r="N19" s="636"/>
    </row>
    <row r="20" spans="1:14" ht="82.15" customHeight="1" x14ac:dyDescent="0.25">
      <c r="A20" s="2" t="s">
        <v>1</v>
      </c>
      <c r="B20" s="454" t="s">
        <v>2</v>
      </c>
      <c r="C20" s="454"/>
      <c r="D20" s="454"/>
      <c r="E20" s="454"/>
      <c r="F20" s="454"/>
      <c r="G20" s="454"/>
      <c r="H20" s="454"/>
      <c r="I20" s="454"/>
      <c r="J20" s="3" t="s">
        <v>45</v>
      </c>
      <c r="K20" s="4" t="s">
        <v>250</v>
      </c>
      <c r="L20" s="4" t="s">
        <v>251</v>
      </c>
      <c r="M20" s="143" t="s">
        <v>254</v>
      </c>
      <c r="N20" s="4" t="str">
        <f>N2</f>
        <v>CANTÃO VIGILANCIA E SEGURANÇA LTDA, CNPJ nº.
14.966.650/0003-62, Data da proposta:  30/04/2021</v>
      </c>
    </row>
    <row r="21" spans="1:14" hidden="1" x14ac:dyDescent="0.25">
      <c r="A21" s="5" t="s">
        <v>4</v>
      </c>
      <c r="B21" s="454" t="s">
        <v>5</v>
      </c>
      <c r="C21" s="454"/>
      <c r="D21" s="454"/>
      <c r="E21" s="454"/>
      <c r="F21" s="454"/>
      <c r="G21" s="454"/>
      <c r="H21" s="454"/>
      <c r="I21" s="454"/>
      <c r="J21" s="6" t="s">
        <v>6</v>
      </c>
      <c r="K21" s="7" t="s">
        <v>7</v>
      </c>
      <c r="L21" s="7" t="s">
        <v>8</v>
      </c>
      <c r="M21" s="7" t="s">
        <v>9</v>
      </c>
      <c r="N21" s="7" t="s">
        <v>10</v>
      </c>
    </row>
    <row r="22" spans="1:14" hidden="1" x14ac:dyDescent="0.25">
      <c r="A22" s="8" t="s">
        <v>11</v>
      </c>
      <c r="B22" s="448" t="s">
        <v>12</v>
      </c>
      <c r="C22" s="448"/>
      <c r="D22" s="448"/>
      <c r="E22" s="448"/>
      <c r="F22" s="448"/>
      <c r="G22" s="448"/>
      <c r="H22" s="448"/>
      <c r="I22" s="448"/>
      <c r="J22" s="9">
        <v>0.03</v>
      </c>
      <c r="K22" s="10"/>
      <c r="L22" s="10">
        <v>2.4299999999999999E-2</v>
      </c>
      <c r="M22" s="10">
        <v>3.8800000000000001E-2</v>
      </c>
      <c r="N22" s="10">
        <v>0.03</v>
      </c>
    </row>
    <row r="23" spans="1:14" x14ac:dyDescent="0.25">
      <c r="A23" s="5" t="s">
        <v>13</v>
      </c>
      <c r="B23" s="454" t="s">
        <v>14</v>
      </c>
      <c r="C23" s="454"/>
      <c r="D23" s="454"/>
      <c r="E23" s="454"/>
      <c r="F23" s="454"/>
      <c r="G23" s="454"/>
      <c r="H23" s="454"/>
      <c r="I23" s="454"/>
      <c r="J23" s="7" t="s">
        <v>15</v>
      </c>
      <c r="K23" s="11" t="s">
        <v>16</v>
      </c>
      <c r="L23" s="11" t="s">
        <v>17</v>
      </c>
      <c r="M23" s="11" t="s">
        <v>18</v>
      </c>
      <c r="N23" s="11" t="s">
        <v>19</v>
      </c>
    </row>
    <row r="24" spans="1:14" x14ac:dyDescent="0.25">
      <c r="A24" s="8" t="s">
        <v>20</v>
      </c>
      <c r="B24" s="448" t="s">
        <v>21</v>
      </c>
      <c r="C24" s="448"/>
      <c r="D24" s="448"/>
      <c r="E24" s="448"/>
      <c r="F24" s="448"/>
      <c r="G24" s="448"/>
      <c r="H24" s="448"/>
      <c r="I24" s="448"/>
      <c r="J24" s="12">
        <f>AVERAGE(K24:N24)</f>
        <v>16.0425</v>
      </c>
      <c r="K24" s="13">
        <v>16.8</v>
      </c>
      <c r="L24" s="13">
        <v>17</v>
      </c>
      <c r="M24" s="13">
        <v>16.48</v>
      </c>
      <c r="N24" s="13">
        <v>13.89</v>
      </c>
    </row>
    <row r="25" spans="1:14" x14ac:dyDescent="0.25">
      <c r="A25" s="5">
        <v>3</v>
      </c>
      <c r="B25" s="454" t="s">
        <v>22</v>
      </c>
      <c r="C25" s="454"/>
      <c r="D25" s="454"/>
      <c r="E25" s="454"/>
      <c r="F25" s="454"/>
      <c r="G25" s="454"/>
      <c r="H25" s="454"/>
      <c r="I25" s="454"/>
      <c r="J25" s="7" t="s">
        <v>15</v>
      </c>
      <c r="K25" s="11" t="s">
        <v>16</v>
      </c>
      <c r="L25" s="11" t="s">
        <v>17</v>
      </c>
      <c r="M25" s="11" t="s">
        <v>18</v>
      </c>
      <c r="N25" s="11" t="s">
        <v>19</v>
      </c>
    </row>
    <row r="26" spans="1:14" x14ac:dyDescent="0.25">
      <c r="A26" s="8" t="s">
        <v>23</v>
      </c>
      <c r="B26" s="455" t="s">
        <v>24</v>
      </c>
      <c r="C26" s="455"/>
      <c r="D26" s="455"/>
      <c r="E26" s="455"/>
      <c r="F26" s="455"/>
      <c r="G26" s="455"/>
      <c r="H26" s="455"/>
      <c r="I26" s="455"/>
      <c r="J26" s="12">
        <f>AVERAGE(K26:N26)</f>
        <v>14.154999999999999</v>
      </c>
      <c r="K26" s="13">
        <v>12.11</v>
      </c>
      <c r="L26" s="13">
        <v>22.4</v>
      </c>
      <c r="M26" s="13">
        <v>11.89</v>
      </c>
      <c r="N26" s="13">
        <v>10.220000000000001</v>
      </c>
    </row>
    <row r="27" spans="1:14" x14ac:dyDescent="0.25">
      <c r="A27" s="8" t="s">
        <v>25</v>
      </c>
      <c r="B27" s="455" t="s">
        <v>26</v>
      </c>
      <c r="C27" s="455"/>
      <c r="D27" s="455"/>
      <c r="E27" s="455"/>
      <c r="F27" s="455"/>
      <c r="G27" s="455"/>
      <c r="H27" s="455"/>
      <c r="I27" s="455"/>
      <c r="J27" s="12">
        <f>AVERAGE(K27:N27)</f>
        <v>51.347500000000004</v>
      </c>
      <c r="K27" s="13">
        <v>47.33</v>
      </c>
      <c r="L27" s="13">
        <v>94.45</v>
      </c>
      <c r="M27" s="13">
        <v>16.39</v>
      </c>
      <c r="N27" s="13">
        <v>47.22</v>
      </c>
    </row>
    <row r="28" spans="1:14" x14ac:dyDescent="0.25">
      <c r="A28" s="5" t="s">
        <v>27</v>
      </c>
      <c r="B28" s="491" t="s">
        <v>28</v>
      </c>
      <c r="C28" s="491"/>
      <c r="D28" s="491"/>
      <c r="E28" s="491"/>
      <c r="F28" s="491"/>
      <c r="G28" s="491"/>
      <c r="H28" s="491"/>
      <c r="I28" s="491"/>
      <c r="J28" s="7" t="s">
        <v>15</v>
      </c>
      <c r="K28" s="11" t="s">
        <v>16</v>
      </c>
      <c r="L28" s="11" t="s">
        <v>17</v>
      </c>
      <c r="M28" s="11" t="s">
        <v>18</v>
      </c>
      <c r="N28" s="11" t="s">
        <v>19</v>
      </c>
    </row>
    <row r="29" spans="1:14" x14ac:dyDescent="0.25">
      <c r="A29" s="8" t="s">
        <v>30</v>
      </c>
      <c r="B29" s="455" t="s">
        <v>31</v>
      </c>
      <c r="C29" s="455"/>
      <c r="D29" s="455"/>
      <c r="E29" s="455"/>
      <c r="F29" s="455"/>
      <c r="G29" s="455"/>
      <c r="H29" s="455"/>
      <c r="I29" s="455"/>
      <c r="J29" s="12">
        <f>AVERAGE(K29:N29)</f>
        <v>10.34</v>
      </c>
      <c r="K29" s="141">
        <v>10.7</v>
      </c>
      <c r="L29" s="141">
        <v>13.34</v>
      </c>
      <c r="M29" s="13">
        <v>10.5</v>
      </c>
      <c r="N29" s="13">
        <v>6.82</v>
      </c>
    </row>
    <row r="30" spans="1:14" x14ac:dyDescent="0.25">
      <c r="A30" s="8" t="s">
        <v>32</v>
      </c>
      <c r="B30" s="448" t="s">
        <v>33</v>
      </c>
      <c r="C30" s="448"/>
      <c r="D30" s="448"/>
      <c r="E30" s="448"/>
      <c r="F30" s="448"/>
      <c r="G30" s="448"/>
      <c r="H30" s="448"/>
      <c r="I30" s="448"/>
      <c r="J30" s="12">
        <f>AVERAGE(K30:N30)</f>
        <v>0.76249999999999996</v>
      </c>
      <c r="K30" s="141">
        <v>0.8</v>
      </c>
      <c r="L30" s="141">
        <v>0.97</v>
      </c>
      <c r="M30" s="13">
        <v>0.79</v>
      </c>
      <c r="N30" s="13">
        <v>0.49</v>
      </c>
    </row>
    <row r="31" spans="1:14" x14ac:dyDescent="0.25">
      <c r="A31" s="8" t="s">
        <v>25</v>
      </c>
      <c r="B31" s="448" t="s">
        <v>34</v>
      </c>
      <c r="C31" s="448"/>
      <c r="D31" s="448"/>
      <c r="E31" s="448"/>
      <c r="F31" s="448"/>
      <c r="G31" s="448"/>
      <c r="H31" s="448"/>
      <c r="I31" s="448"/>
      <c r="J31" s="12">
        <f>AVERAGE(K31:N31)</f>
        <v>5.1624999999999996</v>
      </c>
      <c r="K31" s="141">
        <v>1.25</v>
      </c>
      <c r="L31" s="141">
        <v>10.14</v>
      </c>
      <c r="M31" s="13">
        <v>1.23</v>
      </c>
      <c r="N31" s="13">
        <v>8.0299999999999994</v>
      </c>
    </row>
    <row r="32" spans="1:14" x14ac:dyDescent="0.25">
      <c r="A32" s="8" t="s">
        <v>20</v>
      </c>
      <c r="B32" s="448" t="s">
        <v>35</v>
      </c>
      <c r="C32" s="448"/>
      <c r="D32" s="448"/>
      <c r="E32" s="448"/>
      <c r="F32" s="448"/>
      <c r="G32" s="448"/>
      <c r="H32" s="448"/>
      <c r="I32" s="448"/>
      <c r="J32" s="12">
        <f>AVERAGE(K32:N32)</f>
        <v>5.7749999999999995</v>
      </c>
      <c r="K32" s="141">
        <v>9.4499999999999993</v>
      </c>
      <c r="L32" s="141">
        <v>2.68</v>
      </c>
      <c r="M32" s="13">
        <v>9.27</v>
      </c>
      <c r="N32" s="13">
        <v>1.7</v>
      </c>
    </row>
    <row r="33" spans="1:14" x14ac:dyDescent="0.25">
      <c r="A33" s="8" t="s">
        <v>37</v>
      </c>
      <c r="B33" s="448" t="s">
        <v>38</v>
      </c>
      <c r="C33" s="448"/>
      <c r="D33" s="448"/>
      <c r="E33" s="448"/>
      <c r="F33" s="448"/>
      <c r="G33" s="448"/>
      <c r="H33" s="448"/>
      <c r="I33" s="448"/>
      <c r="J33" s="12">
        <f t="shared" ref="J33" si="0">AVERAGE(K33:N33)</f>
        <v>32.195</v>
      </c>
      <c r="K33" s="141">
        <v>32.9</v>
      </c>
      <c r="L33" s="141"/>
      <c r="M33" s="14">
        <v>31.49</v>
      </c>
      <c r="N33" s="14"/>
    </row>
    <row r="34" spans="1:14" x14ac:dyDescent="0.25">
      <c r="A34" s="5">
        <v>6</v>
      </c>
      <c r="B34" s="633" t="s">
        <v>39</v>
      </c>
      <c r="C34" s="633"/>
      <c r="D34" s="633"/>
      <c r="E34" s="633"/>
      <c r="F34" s="633"/>
      <c r="G34" s="633"/>
      <c r="H34" s="633"/>
      <c r="I34" s="633"/>
      <c r="J34" s="7" t="s">
        <v>40</v>
      </c>
      <c r="K34" s="7" t="s">
        <v>7</v>
      </c>
      <c r="L34" s="7" t="s">
        <v>8</v>
      </c>
      <c r="M34" s="7" t="s">
        <v>9</v>
      </c>
      <c r="N34" s="7" t="s">
        <v>10</v>
      </c>
    </row>
    <row r="35" spans="1:14" x14ac:dyDescent="0.25">
      <c r="A35" s="8" t="s">
        <v>23</v>
      </c>
      <c r="B35" s="448" t="s">
        <v>41</v>
      </c>
      <c r="C35" s="448"/>
      <c r="D35" s="448"/>
      <c r="E35" s="448"/>
      <c r="F35" s="448"/>
      <c r="G35" s="448"/>
      <c r="H35" s="448"/>
      <c r="I35" s="448"/>
      <c r="J35" s="10">
        <f>AVERAGE(K35:N35)</f>
        <v>1.8124999999999999E-2</v>
      </c>
      <c r="K35" s="16">
        <v>1.0200000000000001E-2</v>
      </c>
      <c r="L35" s="16">
        <v>2.9999999999999997E-4</v>
      </c>
      <c r="M35" s="16">
        <v>2E-3</v>
      </c>
      <c r="N35" s="16">
        <v>0.06</v>
      </c>
    </row>
    <row r="36" spans="1:14" s="19" customFormat="1" ht="18.75" customHeight="1" x14ac:dyDescent="0.2">
      <c r="A36" s="8" t="s">
        <v>42</v>
      </c>
      <c r="B36" s="455" t="s">
        <v>43</v>
      </c>
      <c r="C36" s="455"/>
      <c r="D36" s="455"/>
      <c r="E36" s="455"/>
      <c r="F36" s="455"/>
      <c r="G36" s="455"/>
      <c r="H36" s="455"/>
      <c r="I36" s="455"/>
      <c r="J36" s="10">
        <f>AVERAGE(K36:N36)</f>
        <v>1.805E-2</v>
      </c>
      <c r="K36" s="16">
        <v>0.01</v>
      </c>
      <c r="L36" s="16">
        <v>2.0000000000000001E-4</v>
      </c>
      <c r="M36" s="16">
        <v>2E-3</v>
      </c>
      <c r="N36" s="16">
        <v>0.06</v>
      </c>
    </row>
    <row r="38" spans="1:14" x14ac:dyDescent="0.25">
      <c r="K38" s="144"/>
    </row>
    <row r="43" spans="1:14" x14ac:dyDescent="0.25">
      <c r="N43" s="20">
        <f>(2+4)/2</f>
        <v>3</v>
      </c>
    </row>
    <row r="53" spans="10:14" x14ac:dyDescent="0.25">
      <c r="J53" s="20"/>
      <c r="N53"/>
    </row>
  </sheetData>
  <mergeCells count="35">
    <mergeCell ref="B28:I28"/>
    <mergeCell ref="B35:I35"/>
    <mergeCell ref="B36:I36"/>
    <mergeCell ref="B29:I29"/>
    <mergeCell ref="B30:I30"/>
    <mergeCell ref="B31:I31"/>
    <mergeCell ref="B32:I32"/>
    <mergeCell ref="B33:I33"/>
    <mergeCell ref="B34:I34"/>
    <mergeCell ref="B23:I23"/>
    <mergeCell ref="B24:I24"/>
    <mergeCell ref="B25:I25"/>
    <mergeCell ref="B26:I26"/>
    <mergeCell ref="B27:I27"/>
    <mergeCell ref="B17:I17"/>
    <mergeCell ref="B19:N19"/>
    <mergeCell ref="B20:I20"/>
    <mergeCell ref="B21:I21"/>
    <mergeCell ref="B22:I22"/>
    <mergeCell ref="B16:I16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15:I15"/>
    <mergeCell ref="B5:I5"/>
    <mergeCell ref="B1:N1"/>
    <mergeCell ref="B2:I2"/>
    <mergeCell ref="B3:I3"/>
    <mergeCell ref="B4:I4"/>
  </mergeCells>
  <pageMargins left="0.51181102362204722" right="0.51181102362204722" top="0.78740157480314965" bottom="0.78740157480314965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13</vt:i4>
      </vt:variant>
    </vt:vector>
  </HeadingPairs>
  <TitlesOfParts>
    <vt:vector size="28" baseType="lpstr">
      <vt:lpstr>QUADRO RESUMO (Enc.)</vt:lpstr>
      <vt:lpstr>QUADRO RESUMO </vt:lpstr>
      <vt:lpstr>VIG. DIURNO</vt:lpstr>
      <vt:lpstr>DIURNO  COM REPACTUAÇÃO</vt:lpstr>
      <vt:lpstr>Encarregado DIURNO </vt:lpstr>
      <vt:lpstr>Encarregado  NOTURNO </vt:lpstr>
      <vt:lpstr>VIG.  NOTURNO</vt:lpstr>
      <vt:lpstr>NOTURNO COM REPACTUAÇÃO</vt:lpstr>
      <vt:lpstr>Media de custo com mão de obra</vt:lpstr>
      <vt:lpstr>Media de custo com mão de o (2)</vt:lpstr>
      <vt:lpstr>Média de custo - Equipamentos </vt:lpstr>
      <vt:lpstr>Custo de Substitução nas Ferias</vt:lpstr>
      <vt:lpstr>Custo de Subs. nas Fe do Sup(2)</vt:lpstr>
      <vt:lpstr>QUADRO VALOR GLOBAL </vt:lpstr>
      <vt:lpstr>OBSERVAÇÕES</vt:lpstr>
      <vt:lpstr>'Custo de Substitução nas Ferias'!Area_de_impressao</vt:lpstr>
      <vt:lpstr>'DIURNO  COM REPACTUAÇÃO'!Area_de_impressao</vt:lpstr>
      <vt:lpstr>'Encarregado  NOTURNO '!Area_de_impressao</vt:lpstr>
      <vt:lpstr>'Encarregado DIURNO '!Area_de_impressao</vt:lpstr>
      <vt:lpstr>'Média de custo - Equipamentos '!Area_de_impressao</vt:lpstr>
      <vt:lpstr>'Media de custo com mão de o (2)'!Area_de_impressao</vt:lpstr>
      <vt:lpstr>'Media de custo com mão de obra'!Area_de_impressao</vt:lpstr>
      <vt:lpstr>'NOTURNO COM REPACTUAÇÃO'!Area_de_impressao</vt:lpstr>
      <vt:lpstr>'QUADRO RESUMO '!Area_de_impressao</vt:lpstr>
      <vt:lpstr>'QUADRO RESUMO (Enc.)'!Area_de_impressao</vt:lpstr>
      <vt:lpstr>'QUADRO VALOR GLOBAL '!Area_de_impressao</vt:lpstr>
      <vt:lpstr>'VIG.  NOTURNO'!Area_de_impressao</vt:lpstr>
      <vt:lpstr>'VIG. DIURNO'!Area_de_impressao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everton</dc:creator>
  <cp:lastModifiedBy>everton</cp:lastModifiedBy>
  <cp:lastPrinted>2020-06-15T18:51:42Z</cp:lastPrinted>
  <dcterms:created xsi:type="dcterms:W3CDTF">2020-06-12T14:32:59Z</dcterms:created>
  <dcterms:modified xsi:type="dcterms:W3CDTF">2023-10-10T20:54:27Z</dcterms:modified>
</cp:coreProperties>
</file>